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様式E" sheetId="1" r:id="rId1"/>
  </sheets>
  <definedNames>
    <definedName name="_xlnm.Print_Area" localSheetId="0">'様式E'!$A$1:$O$87</definedName>
  </definedNames>
  <calcPr fullCalcOnLoad="1"/>
</workbook>
</file>

<file path=xl/sharedStrings.xml><?xml version="1.0" encoding="utf-8"?>
<sst xmlns="http://schemas.openxmlformats.org/spreadsheetml/2006/main" count="418" uniqueCount="276">
  <si>
    <t>諸　　元</t>
  </si>
  <si>
    <t>算定方法等</t>
  </si>
  <si>
    <t>指針参照先</t>
  </si>
  <si>
    <t>雨水浸透阻害行為区域</t>
  </si>
  <si>
    <t>ａ</t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</si>
  <si>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</si>
  <si>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t>開発区域内で雨水浸透阻害行為を行う面積</t>
  </si>
  <si>
    <t>雨水浸透阻害行為に該当しない区域</t>
  </si>
  <si>
    <t>ｂ</t>
  </si>
  <si>
    <t>開発区域内で雨水浸透阻害行為にあたらない面積</t>
  </si>
  <si>
    <t>開発区域</t>
  </si>
  <si>
    <r>
      <t>Ａ</t>
    </r>
    <r>
      <rPr>
        <vertAlign val="subscript"/>
        <sz val="11"/>
        <rFont val="ＭＳ Ｐ明朝"/>
        <family val="1"/>
      </rPr>
      <t>ａ</t>
    </r>
  </si>
  <si>
    <r>
      <t>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＝ａ＋ｂ</t>
    </r>
  </si>
  <si>
    <t>開発区域外から雨水を流入する区域</t>
  </si>
  <si>
    <r>
      <t>Ａ</t>
    </r>
    <r>
      <rPr>
        <vertAlign val="subscript"/>
        <sz val="11"/>
        <rFont val="ＭＳ Ｐ明朝"/>
        <family val="1"/>
      </rPr>
      <t>ｂ</t>
    </r>
  </si>
  <si>
    <t>開発区域外から雨水が調整池に入る面積</t>
  </si>
  <si>
    <t>集水区域</t>
  </si>
  <si>
    <t>Ａ</t>
  </si>
  <si>
    <r>
      <t>Ａ＝Ａ</t>
    </r>
    <r>
      <rPr>
        <vertAlign val="subscript"/>
        <sz val="11"/>
        <rFont val="ＭＳ Ｐ明朝"/>
        <family val="1"/>
      </rPr>
      <t>ａ</t>
    </r>
    <r>
      <rPr>
        <sz val="11"/>
        <rFont val="ＭＳ Ｐ明朝"/>
        <family val="1"/>
      </rPr>
      <t>＋Ａ</t>
    </r>
    <r>
      <rPr>
        <vertAlign val="subscript"/>
        <sz val="11"/>
        <rFont val="ＭＳ Ｐ明朝"/>
        <family val="1"/>
      </rPr>
      <t>ｂ</t>
    </r>
  </si>
  <si>
    <t>合成流出係数</t>
  </si>
  <si>
    <t>行為前</t>
  </si>
  <si>
    <r>
      <t>ｆ</t>
    </r>
    <r>
      <rPr>
        <vertAlign val="subscript"/>
        <sz val="11"/>
        <rFont val="ＭＳ Ｐ明朝"/>
        <family val="1"/>
      </rPr>
      <t>０</t>
    </r>
  </si>
  <si>
    <t>計算システムにより算出し入力</t>
  </si>
  <si>
    <t>行為後</t>
  </si>
  <si>
    <r>
      <t>ｆ</t>
    </r>
    <r>
      <rPr>
        <vertAlign val="subscript"/>
        <sz val="11"/>
        <rFont val="ＭＳ Ｐ明朝"/>
        <family val="1"/>
      </rPr>
      <t>１</t>
    </r>
  </si>
  <si>
    <t>基準降雨</t>
  </si>
  <si>
    <t>Ｗ</t>
  </si>
  <si>
    <t>1/</t>
  </si>
  <si>
    <t>ピーク流入量</t>
  </si>
  <si>
    <r>
      <t>Q</t>
    </r>
    <r>
      <rPr>
        <vertAlign val="subscript"/>
        <sz val="11"/>
        <rFont val="ＭＳ Ｐ明朝"/>
        <family val="1"/>
      </rPr>
      <t>0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</si>
  <si>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</si>
  <si>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Q</t>
    </r>
    <r>
      <rPr>
        <vertAlign val="subscript"/>
        <sz val="11"/>
        <rFont val="ＭＳ Ｐ明朝"/>
        <family val="1"/>
      </rPr>
      <t>1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</si>
  <si>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</si>
  <si>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t>直接放流区域がある場合</t>
  </si>
  <si>
    <t>開発区域内に調整池に流入しない面積がある場合に入力</t>
  </si>
  <si>
    <t>　直接放流区域</t>
  </si>
  <si>
    <t>ｃ</t>
  </si>
  <si>
    <r>
      <t>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(ha)</t>
    </r>
  </si>
  <si>
    <t>開発区域内で調整池に流入しない面積</t>
  </si>
  <si>
    <t>　合成流出係数</t>
  </si>
  <si>
    <r>
      <t>ｆ</t>
    </r>
    <r>
      <rPr>
        <vertAlign val="subscript"/>
        <sz val="11"/>
        <rFont val="ＭＳ Ｐ明朝"/>
        <family val="1"/>
      </rPr>
      <t>ｃ</t>
    </r>
  </si>
  <si>
    <t>直接放流区域の平均流出係数</t>
  </si>
  <si>
    <t>　直接放流量</t>
  </si>
  <si>
    <r>
      <t>ｑ</t>
    </r>
    <r>
      <rPr>
        <vertAlign val="subscript"/>
        <sz val="11"/>
        <rFont val="ＭＳ Ｐ明朝"/>
        <family val="1"/>
      </rPr>
      <t>１</t>
    </r>
  </si>
  <si>
    <t>　直接放流区域を除いた集水区域</t>
  </si>
  <si>
    <r>
      <t>A</t>
    </r>
    <r>
      <rPr>
        <vertAlign val="subscript"/>
        <sz val="11"/>
        <rFont val="ＭＳ Ｐ明朝"/>
        <family val="1"/>
      </rPr>
      <t>ｃ</t>
    </r>
  </si>
  <si>
    <r>
      <t>A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＝A－ｃ</t>
    </r>
  </si>
  <si>
    <r>
      <t>ｆ</t>
    </r>
    <r>
      <rPr>
        <vertAlign val="subscript"/>
        <sz val="11"/>
        <rFont val="ＭＳ Ｐ明朝"/>
        <family val="1"/>
      </rPr>
      <t>０ｃ</t>
    </r>
  </si>
  <si>
    <r>
      <t>ｆ</t>
    </r>
    <r>
      <rPr>
        <vertAlign val="subscript"/>
        <sz val="11"/>
        <rFont val="ＭＳ Ｐ明朝"/>
        <family val="1"/>
      </rPr>
      <t>１ｃ</t>
    </r>
  </si>
  <si>
    <t>許容放流量</t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</si>
  <si>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、Q</t>
    </r>
    <r>
      <rPr>
        <vertAlign val="subscript"/>
        <sz val="11"/>
        <rFont val="ＭＳ Ｐ明朝"/>
        <family val="1"/>
      </rPr>
      <t>上段</t>
    </r>
  </si>
  <si>
    <r>
      <t>Q</t>
    </r>
    <r>
      <rPr>
        <vertAlign val="subscript"/>
        <sz val="11"/>
        <rFont val="ＭＳ Ｐ明朝"/>
        <family val="1"/>
      </rPr>
      <t>下段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－ｑ</t>
    </r>
    <r>
      <rPr>
        <vertAlign val="subscript"/>
        <sz val="11"/>
        <rFont val="ＭＳ Ｐ明朝"/>
        <family val="1"/>
      </rPr>
      <t>１</t>
    </r>
    <r>
      <rPr>
        <sz val="11"/>
        <rFont val="ＭＳ Ｐ明朝"/>
        <family val="1"/>
      </rPr>
      <t>－Q</t>
    </r>
    <r>
      <rPr>
        <vertAlign val="subscript"/>
        <sz val="11"/>
        <rFont val="ＭＳ Ｐ明朝"/>
        <family val="1"/>
      </rPr>
      <t>上段</t>
    </r>
  </si>
  <si>
    <t>浸透施設諸元</t>
  </si>
  <si>
    <t>飽和透水係数</t>
  </si>
  <si>
    <t>台地・段丘ｏｒ微高地
ｏｒ低地ｏｒ現地試験</t>
  </si>
  <si>
    <r>
      <t>ｋ</t>
    </r>
    <r>
      <rPr>
        <vertAlign val="subscript"/>
        <sz val="11"/>
        <rFont val="ＭＳ Ｐ明朝"/>
        <family val="1"/>
      </rPr>
      <t>０</t>
    </r>
  </si>
  <si>
    <t>cm/s</t>
  </si>
  <si>
    <t>「台地・段丘」、「微高地」、「低地」の中より選択して記入</t>
  </si>
  <si>
    <t>←少数第5位まで</t>
  </si>
  <si>
    <t>現地試験の場合に入力する</t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</si>
  <si>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</t>
    </r>
  </si>
  <si>
    <t>m/hr</t>
  </si>
  <si>
    <r>
      <t>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’＝ｋ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×3600／100</t>
    </r>
  </si>
  <si>
    <t>影響係数</t>
  </si>
  <si>
    <t>α</t>
  </si>
  <si>
    <t>地下水位、目づまり等による影響に対する安全率(=0.81)</t>
  </si>
  <si>
    <t>①</t>
  </si>
  <si>
    <t>②</t>
  </si>
  <si>
    <t>③</t>
  </si>
  <si>
    <t>④</t>
  </si>
  <si>
    <t>←それぞれ４種類まで入力可能</t>
  </si>
  <si>
    <t>浸透ます</t>
  </si>
  <si>
    <t>ますの種類</t>
  </si>
  <si>
    <t>←円筒ます：1、正方ます：2、矩形ます：3</t>
  </si>
  <si>
    <t>浸透面</t>
  </si>
  <si>
    <t>←側面及び底面：1、底面：2</t>
  </si>
  <si>
    <t>幅1(直径)</t>
  </si>
  <si>
    <t>w1(ｄ)</t>
  </si>
  <si>
    <t>m</t>
  </si>
  <si>
    <t>幅2(延長)</t>
  </si>
  <si>
    <t>w2(L)</t>
  </si>
  <si>
    <t>設置する浸透ますの幅(延長)　※円筒、正方の場合は記入不要</t>
  </si>
  <si>
    <t>設計水頭</t>
  </si>
  <si>
    <t>H</t>
  </si>
  <si>
    <t>設置する浸透ますの設計水頭</t>
  </si>
  <si>
    <t>比浸透量</t>
  </si>
  <si>
    <r>
      <t>ｋ</t>
    </r>
    <r>
      <rPr>
        <vertAlign val="subscript"/>
        <sz val="11"/>
        <rFont val="ＭＳ Ｐ明朝"/>
        <family val="1"/>
      </rPr>
      <t>ｆm</t>
    </r>
  </si>
  <si>
    <r>
      <t>m</t>
    </r>
    <r>
      <rPr>
        <vertAlign val="superscript"/>
        <sz val="11"/>
        <rFont val="ＭＳ Ｐ明朝"/>
        <family val="1"/>
      </rPr>
      <t>2</t>
    </r>
  </si>
  <si>
    <t>幅(直径)、設計水頭を用いて算定式により算出</t>
  </si>
  <si>
    <t>個　数</t>
  </si>
  <si>
    <t>N</t>
  </si>
  <si>
    <t>個</t>
  </si>
  <si>
    <t>設置する浸透ますの個数</t>
  </si>
  <si>
    <t>浸透対策量</t>
  </si>
  <si>
    <r>
      <t>Q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</si>
  <si>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</si>
  <si>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Q</t>
    </r>
    <r>
      <rPr>
        <vertAlign val="subscript"/>
        <sz val="11"/>
        <rFont val="ＭＳ Ｐ明朝"/>
        <family val="1"/>
      </rPr>
      <t>m1～n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ｆm</t>
    </r>
    <r>
      <rPr>
        <sz val="11"/>
        <rFont val="ＭＳ Ｐ明朝"/>
        <family val="1"/>
      </rPr>
      <t>×N</t>
    </r>
  </si>
  <si>
    <t>浸透対策量　計</t>
  </si>
  <si>
    <r>
      <t>Q</t>
    </r>
    <r>
      <rPr>
        <vertAlign val="subscript"/>
        <sz val="11"/>
        <rFont val="ＭＳ Ｐ明朝"/>
        <family val="1"/>
      </rPr>
      <t>ｍ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</si>
  <si>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</si>
  <si>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(Q</t>
    </r>
    <r>
      <rPr>
        <vertAlign val="subscript"/>
        <sz val="11"/>
        <rFont val="ＭＳ Ｐ明朝"/>
        <family val="1"/>
      </rPr>
      <t>m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m1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mn</t>
    </r>
    <r>
      <rPr>
        <sz val="11"/>
        <rFont val="ＭＳ Ｐ明朝"/>
        <family val="1"/>
      </rPr>
      <t>)/3600</t>
    </r>
  </si>
  <si>
    <t>体　積</t>
  </si>
  <si>
    <r>
      <t>ｖ</t>
    </r>
    <r>
      <rPr>
        <vertAlign val="subscript"/>
        <sz val="11"/>
        <rFont val="ＭＳ Ｐ明朝"/>
        <family val="1"/>
      </rPr>
      <t>ｍ１～ｎ</t>
    </r>
  </si>
  <si>
    <r>
      <t>m</t>
    </r>
    <r>
      <rPr>
        <vertAlign val="superscript"/>
        <sz val="11"/>
        <rFont val="ＭＳ Ｐ明朝"/>
        <family val="1"/>
      </rPr>
      <t>3</t>
    </r>
  </si>
  <si>
    <t>設置する浸透ますの形状により算出</t>
  </si>
  <si>
    <t>空隙率</t>
  </si>
  <si>
    <r>
      <t>α</t>
    </r>
    <r>
      <rPr>
        <vertAlign val="subscript"/>
        <sz val="11"/>
        <rFont val="ＭＳ Ｐ明朝"/>
        <family val="1"/>
      </rPr>
      <t>ｍ１～ｎ</t>
    </r>
  </si>
  <si>
    <t>％</t>
  </si>
  <si>
    <t>使用する部材により決定</t>
  </si>
  <si>
    <t>空隙貯留量　計</t>
  </si>
  <si>
    <r>
      <t>ｖ</t>
    </r>
    <r>
      <rPr>
        <vertAlign val="subscript"/>
        <sz val="11"/>
        <rFont val="ＭＳ Ｐ明朝"/>
        <family val="1"/>
      </rPr>
      <t>ｍ</t>
    </r>
  </si>
  <si>
    <r>
      <t>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ｍｎ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ｍｎ</t>
    </r>
  </si>
  <si>
    <t>浸透トレンチ
及び
浸透側溝</t>
  </si>
  <si>
    <t>幅　</t>
  </si>
  <si>
    <t>w</t>
  </si>
  <si>
    <t>m</t>
  </si>
  <si>
    <t>設置する浸透トレンチの幅</t>
  </si>
  <si>
    <t>H</t>
  </si>
  <si>
    <t>設置するトレンチの設計水頭</t>
  </si>
  <si>
    <r>
      <t>ｋ</t>
    </r>
    <r>
      <rPr>
        <vertAlign val="subscript"/>
        <sz val="11"/>
        <rFont val="ＭＳ Ｐ明朝"/>
        <family val="1"/>
      </rPr>
      <t>ｆt</t>
    </r>
  </si>
  <si>
    <r>
      <t>m</t>
    </r>
    <r>
      <rPr>
        <vertAlign val="superscript"/>
        <sz val="11"/>
        <rFont val="ＭＳ Ｐ明朝"/>
        <family val="1"/>
      </rPr>
      <t>2</t>
    </r>
  </si>
  <si>
    <t>幅、設計水頭を用いて算定式により算出</t>
  </si>
  <si>
    <t>延　長</t>
  </si>
  <si>
    <r>
      <t>L</t>
    </r>
    <r>
      <rPr>
        <vertAlign val="subscript"/>
        <sz val="11"/>
        <rFont val="ＭＳ Ｐ明朝"/>
        <family val="1"/>
      </rPr>
      <t>t</t>
    </r>
  </si>
  <si>
    <t>設置する浸透トレンチの延長</t>
  </si>
  <si>
    <r>
      <t>Q</t>
    </r>
    <r>
      <rPr>
        <vertAlign val="subscript"/>
        <sz val="11"/>
        <rFont val="ＭＳ Ｐ明朝"/>
        <family val="1"/>
      </rPr>
      <t>t１～ｎ</t>
    </r>
  </si>
  <si>
    <r>
      <t>Q</t>
    </r>
    <r>
      <rPr>
        <vertAlign val="subscript"/>
        <sz val="11"/>
        <rFont val="ＭＳ Ｐ明朝"/>
        <family val="1"/>
      </rPr>
      <t>t1～ｎ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ｆｔ</t>
    </r>
    <r>
      <rPr>
        <sz val="11"/>
        <rFont val="ＭＳ Ｐ明朝"/>
        <family val="1"/>
      </rPr>
      <t>×L</t>
    </r>
    <r>
      <rPr>
        <vertAlign val="subscript"/>
        <sz val="11"/>
        <rFont val="ＭＳ Ｐ明朝"/>
        <family val="1"/>
      </rPr>
      <t>t</t>
    </r>
  </si>
  <si>
    <r>
      <t>Q</t>
    </r>
    <r>
      <rPr>
        <vertAlign val="subscript"/>
        <sz val="11"/>
        <rFont val="ＭＳ Ｐ明朝"/>
        <family val="1"/>
      </rPr>
      <t>t</t>
    </r>
  </si>
  <si>
    <r>
      <t>(Q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ｔ1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ｔn</t>
    </r>
    <r>
      <rPr>
        <sz val="11"/>
        <rFont val="ＭＳ Ｐ明朝"/>
        <family val="1"/>
      </rPr>
      <t>)/3600</t>
    </r>
  </si>
  <si>
    <r>
      <t>ｖ</t>
    </r>
    <r>
      <rPr>
        <vertAlign val="subscript"/>
        <sz val="11"/>
        <rFont val="ＭＳ Ｐ明朝"/>
        <family val="1"/>
      </rPr>
      <t>ｔ１～ｎ</t>
    </r>
  </si>
  <si>
    <t>設置する浸透トレンチの形状により算出</t>
  </si>
  <si>
    <r>
      <t>α</t>
    </r>
    <r>
      <rPr>
        <vertAlign val="subscript"/>
        <sz val="11"/>
        <rFont val="ＭＳ Ｐ明朝"/>
        <family val="1"/>
      </rPr>
      <t>t１～ｎ</t>
    </r>
  </si>
  <si>
    <r>
      <t>ｖ</t>
    </r>
    <r>
      <rPr>
        <vertAlign val="subscript"/>
        <sz val="11"/>
        <rFont val="ＭＳ Ｐ明朝"/>
        <family val="1"/>
      </rPr>
      <t>ｔ</t>
    </r>
  </si>
  <si>
    <r>
      <t>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ｔｎ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ｔｎ</t>
    </r>
  </si>
  <si>
    <t>透水性舗装</t>
  </si>
  <si>
    <t>施工する透水性舗装の設計水頭</t>
  </si>
  <si>
    <r>
      <t>ｋ</t>
    </r>
    <r>
      <rPr>
        <vertAlign val="subscript"/>
        <sz val="11"/>
        <rFont val="ＭＳ Ｐ明朝"/>
        <family val="1"/>
      </rPr>
      <t>ｆh</t>
    </r>
  </si>
  <si>
    <t>設計水頭を用いて算定式により算出</t>
  </si>
  <si>
    <t>面　積</t>
  </si>
  <si>
    <r>
      <t>A</t>
    </r>
    <r>
      <rPr>
        <vertAlign val="subscript"/>
        <sz val="11"/>
        <rFont val="ＭＳ Ｐ明朝"/>
        <family val="1"/>
      </rPr>
      <t>h</t>
    </r>
  </si>
  <si>
    <t>施工する透水性舗装の面積</t>
  </si>
  <si>
    <r>
      <t>Q</t>
    </r>
    <r>
      <rPr>
        <vertAlign val="subscript"/>
        <sz val="11"/>
        <rFont val="ＭＳ Ｐ明朝"/>
        <family val="1"/>
      </rPr>
      <t>h１～ｎ</t>
    </r>
  </si>
  <si>
    <r>
      <t>Q</t>
    </r>
    <r>
      <rPr>
        <vertAlign val="subscript"/>
        <sz val="11"/>
        <rFont val="ＭＳ Ｐ明朝"/>
        <family val="1"/>
      </rPr>
      <t>h1～ｎ</t>
    </r>
    <r>
      <rPr>
        <sz val="11"/>
        <rFont val="ＭＳ Ｐ明朝"/>
        <family val="1"/>
      </rPr>
      <t>＝k</t>
    </r>
    <r>
      <rPr>
        <vertAlign val="subscript"/>
        <sz val="11"/>
        <rFont val="ＭＳ Ｐ明朝"/>
        <family val="1"/>
      </rPr>
      <t>０</t>
    </r>
    <r>
      <rPr>
        <sz val="11"/>
        <rFont val="ＭＳ Ｐ明朝"/>
        <family val="1"/>
      </rPr>
      <t>'×α×k</t>
    </r>
    <r>
      <rPr>
        <vertAlign val="subscript"/>
        <sz val="11"/>
        <rFont val="ＭＳ Ｐ明朝"/>
        <family val="1"/>
      </rPr>
      <t>ｆh</t>
    </r>
    <r>
      <rPr>
        <sz val="11"/>
        <rFont val="ＭＳ Ｐ明朝"/>
        <family val="1"/>
      </rPr>
      <t>×A</t>
    </r>
    <r>
      <rPr>
        <vertAlign val="subscript"/>
        <sz val="11"/>
        <rFont val="ＭＳ Ｐ明朝"/>
        <family val="1"/>
      </rPr>
      <t>h</t>
    </r>
  </si>
  <si>
    <r>
      <t>Q</t>
    </r>
    <r>
      <rPr>
        <vertAlign val="subscript"/>
        <sz val="11"/>
        <rFont val="ＭＳ Ｐ明朝"/>
        <family val="1"/>
      </rPr>
      <t>h</t>
    </r>
  </si>
  <si>
    <r>
      <t>(Q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ｈ1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ｈn</t>
    </r>
    <r>
      <rPr>
        <sz val="11"/>
        <rFont val="ＭＳ Ｐ明朝"/>
        <family val="1"/>
      </rPr>
      <t>)/3600</t>
    </r>
  </si>
  <si>
    <r>
      <t>ｖ</t>
    </r>
    <r>
      <rPr>
        <vertAlign val="subscript"/>
        <sz val="11"/>
        <rFont val="ＭＳ Ｐ明朝"/>
        <family val="1"/>
      </rPr>
      <t>ｈ１～ｎ</t>
    </r>
  </si>
  <si>
    <t>施工する透水性舗装の形状により算出</t>
  </si>
  <si>
    <r>
      <t>α</t>
    </r>
    <r>
      <rPr>
        <vertAlign val="subscript"/>
        <sz val="11"/>
        <rFont val="ＭＳ Ｐ明朝"/>
        <family val="1"/>
      </rPr>
      <t>h１～ｎ</t>
    </r>
  </si>
  <si>
    <r>
      <t>ｖ</t>
    </r>
    <r>
      <rPr>
        <vertAlign val="subscript"/>
        <sz val="11"/>
        <rFont val="ＭＳ Ｐ明朝"/>
        <family val="1"/>
      </rPr>
      <t>ｈ</t>
    </r>
  </si>
  <si>
    <r>
      <t>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ｈｎ</t>
    </r>
    <r>
      <rPr>
        <sz val="11"/>
        <rFont val="ＭＳ Ｐ明朝"/>
        <family val="1"/>
      </rPr>
      <t>×α</t>
    </r>
    <r>
      <rPr>
        <vertAlign val="subscript"/>
        <sz val="11"/>
        <rFont val="ＭＳ Ｐ明朝"/>
        <family val="1"/>
      </rPr>
      <t>ｈｎ</t>
    </r>
  </si>
  <si>
    <t>その他</t>
  </si>
  <si>
    <r>
      <t>Q</t>
    </r>
    <r>
      <rPr>
        <vertAlign val="subscript"/>
        <sz val="11"/>
        <rFont val="ＭＳ Ｐ明朝"/>
        <family val="1"/>
      </rPr>
      <t>ｘ１～ｎ</t>
    </r>
  </si>
  <si>
    <t>施工する施設の浸透能力により算出し入力</t>
  </si>
  <si>
    <r>
      <t>Q</t>
    </r>
    <r>
      <rPr>
        <vertAlign val="subscript"/>
        <sz val="11"/>
        <rFont val="ＭＳ Ｐ明朝"/>
        <family val="1"/>
      </rPr>
      <t>ｘ</t>
    </r>
  </si>
  <si>
    <r>
      <t>(Q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ｘ1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＋・・・・＋Q</t>
    </r>
    <r>
      <rPr>
        <vertAlign val="subscript"/>
        <sz val="11"/>
        <rFont val="ＭＳ Ｐ明朝"/>
        <family val="1"/>
      </rPr>
      <t>ｘn</t>
    </r>
    <r>
      <rPr>
        <sz val="11"/>
        <rFont val="ＭＳ Ｐ明朝"/>
        <family val="1"/>
      </rPr>
      <t>)/3600</t>
    </r>
  </si>
  <si>
    <t>空隙貯留量</t>
  </si>
  <si>
    <r>
      <t>ｖ</t>
    </r>
    <r>
      <rPr>
        <vertAlign val="subscript"/>
        <sz val="11"/>
        <rFont val="ＭＳ Ｐ明朝"/>
        <family val="1"/>
      </rPr>
      <t>ｘ１～ｎ</t>
    </r>
  </si>
  <si>
    <t>使用する二次製品の空隙貯留量を入力</t>
  </si>
  <si>
    <r>
      <t>ｖ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</si>
  <si>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ｘ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ｘ１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ｘ２</t>
    </r>
    <r>
      <rPr>
        <sz val="11"/>
        <rFont val="ＭＳ Ｐ明朝"/>
        <family val="1"/>
      </rPr>
      <t>＋・・・・＋ｖ</t>
    </r>
    <r>
      <rPr>
        <vertAlign val="subscript"/>
        <sz val="11"/>
        <rFont val="ＭＳ Ｐ明朝"/>
        <family val="1"/>
      </rPr>
      <t>ｘｎ</t>
    </r>
  </si>
  <si>
    <t>合　計</t>
  </si>
  <si>
    <r>
      <t>Q</t>
    </r>
    <r>
      <rPr>
        <vertAlign val="subscript"/>
        <sz val="11"/>
        <rFont val="ＭＳ Ｐ明朝"/>
        <family val="1"/>
      </rPr>
      <t>ｓ</t>
    </r>
  </si>
  <si>
    <r>
      <t>Q</t>
    </r>
    <r>
      <rPr>
        <vertAlign val="subscript"/>
        <sz val="11"/>
        <rFont val="ＭＳ Ｐ明朝"/>
        <family val="1"/>
      </rPr>
      <t>s</t>
    </r>
    <r>
      <rPr>
        <sz val="11"/>
        <rFont val="ＭＳ Ｐ明朝"/>
        <family val="1"/>
      </rPr>
      <t>＝Q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＋Q</t>
    </r>
    <r>
      <rPr>
        <vertAlign val="subscript"/>
        <sz val="11"/>
        <rFont val="ＭＳ Ｐ明朝"/>
        <family val="1"/>
      </rPr>
      <t>ｘ</t>
    </r>
  </si>
  <si>
    <r>
      <t>ｖ</t>
    </r>
    <r>
      <rPr>
        <vertAlign val="subscript"/>
        <sz val="11"/>
        <rFont val="ＭＳ Ｐ明朝"/>
        <family val="1"/>
      </rPr>
      <t>ｓ</t>
    </r>
  </si>
  <si>
    <r>
      <t>ｖ</t>
    </r>
    <r>
      <rPr>
        <vertAlign val="subscript"/>
        <sz val="11"/>
        <rFont val="ＭＳ Ｐ明朝"/>
        <family val="1"/>
      </rPr>
      <t>ｓ</t>
    </r>
    <r>
      <rPr>
        <sz val="11"/>
        <rFont val="ＭＳ Ｐ明朝"/>
        <family val="1"/>
      </rPr>
      <t>＝ｖ</t>
    </r>
    <r>
      <rPr>
        <vertAlign val="subscript"/>
        <sz val="11"/>
        <rFont val="ＭＳ Ｐ明朝"/>
        <family val="1"/>
      </rPr>
      <t>ｍ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ｔ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ｈ</t>
    </r>
    <r>
      <rPr>
        <sz val="11"/>
        <rFont val="ＭＳ Ｐ明朝"/>
        <family val="1"/>
      </rPr>
      <t>＋ｖ</t>
    </r>
    <r>
      <rPr>
        <vertAlign val="subscript"/>
        <sz val="11"/>
        <rFont val="ＭＳ Ｐ明朝"/>
        <family val="1"/>
      </rPr>
      <t>ｘ</t>
    </r>
  </si>
  <si>
    <t>基本諸元</t>
  </si>
  <si>
    <t>単位</t>
  </si>
  <si>
    <t>値</t>
  </si>
  <si>
    <t>貯留施設諸元</t>
  </si>
  <si>
    <t>池の壁面形状</t>
  </si>
  <si>
    <t>池の勾配</t>
  </si>
  <si>
    <t>直壁　or　１：○</t>
  </si>
  <si>
    <t>←「直壁」、「１：○」、「複断面」を記入</t>
  </si>
  <si>
    <t>自然放流方式
2段ｵﾘﾌｨｽ方式
ﾎﾟﾝﾌﾟ放流方式</t>
  </si>
  <si>
    <t>水深～容量関係
水深～ﾎﾟﾝﾌﾟ関係</t>
  </si>
  <si>
    <t>水深(m)</t>
  </si>
  <si>
    <t>容量(ｖ)</t>
  </si>
  <si>
    <t>ﾎﾟﾝﾌﾟ(ｖ)</t>
  </si>
  <si>
    <t>地盤高、外水位の高さ等を考慮して設定した貯留施設の形状により作成</t>
  </si>
  <si>
    <t>①</t>
  </si>
  <si>
    <t>②</t>
  </si>
  <si>
    <t>③</t>
  </si>
  <si>
    <t>④</t>
  </si>
  <si>
    <t>⑤</t>
  </si>
  <si>
    <t>⑥</t>
  </si>
  <si>
    <t>⑦</t>
  </si>
  <si>
    <t>⑧</t>
  </si>
  <si>
    <t>放流施設諸元</t>
  </si>
  <si>
    <t>自然、2段(下段）</t>
  </si>
  <si>
    <t>2段(上段)</t>
  </si>
  <si>
    <t>放流孔形状</t>
  </si>
  <si>
    <t>直径(高さ)</t>
  </si>
  <si>
    <t>φ(D)</t>
  </si>
  <si>
    <t>m</t>
  </si>
  <si>
    <t>矩形の場合→幅　</t>
  </si>
  <si>
    <t>B</t>
  </si>
  <si>
    <t>管底位置</t>
  </si>
  <si>
    <t>池底から</t>
  </si>
  <si>
    <r>
      <t>ｈ</t>
    </r>
    <r>
      <rPr>
        <vertAlign val="subscript"/>
        <sz val="11"/>
        <rFont val="ＭＳ Ｐ明朝"/>
        <family val="1"/>
      </rPr>
      <t>０</t>
    </r>
  </si>
  <si>
    <t>最大放流量</t>
  </si>
  <si>
    <r>
      <t>Q</t>
    </r>
    <r>
      <rPr>
        <vertAlign val="subscript"/>
        <sz val="11"/>
        <rFont val="ＭＳ Ｐ明朝"/>
        <family val="1"/>
      </rPr>
      <t>ｍａｘ</t>
    </r>
  </si>
  <si>
    <t>池内最大水深</t>
  </si>
  <si>
    <r>
      <t>Ｈ</t>
    </r>
    <r>
      <rPr>
        <vertAlign val="subscript"/>
        <sz val="11"/>
        <rFont val="ＭＳ Ｐ明朝"/>
        <family val="1"/>
      </rPr>
      <t>ｍａｘ</t>
    </r>
  </si>
  <si>
    <t>池内最大ボリューム</t>
  </si>
  <si>
    <r>
      <t>Ｖ</t>
    </r>
    <r>
      <rPr>
        <vertAlign val="subscript"/>
        <sz val="11"/>
        <rFont val="ＭＳ Ｐ明朝"/>
        <family val="1"/>
      </rPr>
      <t>ｍａｘ</t>
    </r>
  </si>
  <si>
    <r>
      <t>m</t>
    </r>
    <r>
      <rPr>
        <vertAlign val="superscript"/>
        <sz val="11"/>
        <rFont val="ＭＳ Ｐ明朝"/>
        <family val="1"/>
      </rPr>
      <t>3</t>
    </r>
  </si>
  <si>
    <t>開発区域に必要な調整池容量</t>
  </si>
  <si>
    <t>Ｖ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</si>
  <si>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/ha</t>
    </r>
  </si>
  <si>
    <r>
      <t>V＝Ｖ</t>
    </r>
    <r>
      <rPr>
        <vertAlign val="subscript"/>
        <sz val="11"/>
        <rFont val="ＭＳ Ｐ明朝"/>
        <family val="1"/>
      </rPr>
      <t>max</t>
    </r>
    <r>
      <rPr>
        <sz val="11"/>
        <rFont val="ＭＳ Ｐ明朝"/>
        <family val="1"/>
      </rPr>
      <t>／ａ×10,000</t>
    </r>
  </si>
  <si>
    <t>放流量評価</t>
  </si>
  <si>
    <t>ＯＫ　ｏｒ　ＮＧ</t>
  </si>
  <si>
    <r>
      <t>許容放流量 Q　≧　最大放流量 Q</t>
    </r>
    <r>
      <rPr>
        <vertAlign val="subscript"/>
        <sz val="11"/>
        <rFont val="ＭＳ Ｐ明朝"/>
        <family val="1"/>
      </rPr>
      <t>ｍａｘ</t>
    </r>
    <r>
      <rPr>
        <sz val="11"/>
        <rFont val="ＭＳ Ｐ明朝"/>
        <family val="1"/>
      </rPr>
      <t>＋直接放流量ｑ</t>
    </r>
    <r>
      <rPr>
        <vertAlign val="subscript"/>
        <sz val="11"/>
        <rFont val="ＭＳ Ｐ明朝"/>
        <family val="1"/>
      </rPr>
      <t>１</t>
    </r>
  </si>
  <si>
    <t>調整池容量計算システム用チェックシート</t>
  </si>
  <si>
    <t>（様式Ｅ）</t>
  </si>
  <si>
    <t>自動計算のセル（何も入力しない）</t>
  </si>
  <si>
    <t>手入力</t>
  </si>
  <si>
    <t>計算システムにより算出した結果を入力</t>
  </si>
  <si>
    <t>円筒ます</t>
  </si>
  <si>
    <t>浸透面</t>
  </si>
  <si>
    <t>側面及び底面</t>
  </si>
  <si>
    <t>底面</t>
  </si>
  <si>
    <t>施設規模</t>
  </si>
  <si>
    <t>0.2m≦直径≦1m</t>
  </si>
  <si>
    <t>1.0m＜直径＜10m</t>
  </si>
  <si>
    <t>0.3m≦直径≦1m</t>
  </si>
  <si>
    <t>基本式</t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</si>
  <si>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</si>
  <si>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t>kf＝aH+b</t>
  </si>
  <si>
    <t>a</t>
  </si>
  <si>
    <t>0.475D+0.945</t>
  </si>
  <si>
    <t>6.244D+2.853</t>
  </si>
  <si>
    <t>1.497D-0.100</t>
  </si>
  <si>
    <t>2.556D-2.052</t>
  </si>
  <si>
    <t>b</t>
  </si>
  <si>
    <t>6.07D+1.01</t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</si>
  <si>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</si>
  <si>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</si>
  <si>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</si>
  <si>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t>c</t>
  </si>
  <si>
    <t>2.570D-0.188</t>
  </si>
  <si>
    <t>-</t>
  </si>
  <si>
    <t>kfm1</t>
  </si>
  <si>
    <t>kfm2</t>
  </si>
  <si>
    <t>kfm3</t>
  </si>
  <si>
    <t>kfm4</t>
  </si>
  <si>
    <t>正方形ます</t>
  </si>
  <si>
    <t>幅≦1m</t>
  </si>
  <si>
    <t>1.0m＜幅≦10m</t>
  </si>
  <si>
    <t>10m＜直径＜80m</t>
  </si>
  <si>
    <t>0.120W+0.985</t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</si>
  <si>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</si>
  <si>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t>0.747W+21.355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</si>
  <si>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</si>
  <si>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</si>
  <si>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</si>
  <si>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t>7.837W+0.82</t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</si>
  <si>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</si>
  <si>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</si>
  <si>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</si>
  <si>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</si>
  <si>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</si>
  <si>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2.858W-0.283</t>
  </si>
  <si>
    <t>矩形のます</t>
  </si>
  <si>
    <t>底面（透水性舗装を適用）</t>
  </si>
  <si>
    <t>延長200m、幅約4m</t>
  </si>
  <si>
    <r>
      <t>約400m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以上</t>
    </r>
  </si>
  <si>
    <t>3.297L+(1.971W+4.663)</t>
  </si>
  <si>
    <t>(1.401W+0.684)L+(1.214W-0.834)</t>
  </si>
  <si>
    <t>台地・段丘</t>
  </si>
  <si>
    <t>設置する浸透ますの幅（直径）：充填砕石部</t>
  </si>
  <si>
    <t>幅3(直径)</t>
  </si>
  <si>
    <t>w3(ｄ)</t>
  </si>
  <si>
    <t>設置する浸透ます本体の幅（直径）</t>
  </si>
  <si>
    <r>
      <t>Q</t>
    </r>
    <r>
      <rPr>
        <vertAlign val="subscript"/>
        <sz val="11"/>
        <rFont val="ＭＳ Ｐ明朝"/>
        <family val="1"/>
      </rPr>
      <t>0</t>
    </r>
    <r>
      <rPr>
        <sz val="11"/>
        <rFont val="ＭＳ Ｐ明朝"/>
        <family val="1"/>
      </rPr>
      <t>=1/360*f</t>
    </r>
    <r>
      <rPr>
        <vertAlign val="subscript"/>
        <sz val="11"/>
        <rFont val="ＭＳ Ｐ明朝"/>
        <family val="1"/>
      </rPr>
      <t>ｃ</t>
    </r>
    <r>
      <rPr>
        <sz val="11"/>
        <rFont val="ＭＳ Ｐ明朝"/>
        <family val="1"/>
      </rPr>
      <t>*r*ｃ</t>
    </r>
  </si>
  <si>
    <t>W=1/10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</si>
</sst>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"/>
    <numFmt numFmtId="179" formatCode="0.0000"/>
    <numFmt numFmtId="180" formatCode="0.00;\-0.00;"/>
    <numFmt numFmtId="181" formatCode="0.000;\-0.000;"/>
    <numFmt numFmtId="182" formatCode="0.0000;\-0.0000;"/>
    <numFmt numFmtId="183" formatCode="0;\-0;"/>
    <numFmt numFmtId="184" formatCode="#,##0.0000;[Red]\-#,##0.0000"/>
    <numFmt numFmtId="185" formatCode="0.00000"/>
    <numFmt numFmtId="186" formatCode="0&quot;Ａ&quot;"/>
    <numFmt numFmtId="187" formatCode="0.00000&quot;≧&quot;"/>
    <numFmt numFmtId="188" formatCode="0.0000_ "/>
    <numFmt numFmtId="189" formatCode="#,##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Calibri"/>
      <family val="3"/>
    </font>
    <font>
      <b/>
      <sz val="11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0" fillId="33" borderId="12" xfId="0" applyFont="1" applyFill="1" applyBorder="1" applyAlignment="1">
      <alignment horizontal="centerContinuous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6" fillId="0" borderId="25" xfId="0" applyFont="1" applyBorder="1" applyAlignment="1">
      <alignment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178" fontId="3" fillId="33" borderId="20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34" borderId="14" xfId="0" applyFont="1" applyFill="1" applyBorder="1" applyAlignment="1" applyProtection="1">
      <alignment vertical="center"/>
      <protection locked="0"/>
    </xf>
    <xf numFmtId="2" fontId="3" fillId="34" borderId="36" xfId="0" applyNumberFormat="1" applyFont="1" applyFill="1" applyBorder="1" applyAlignment="1">
      <alignment horizontal="center" vertical="center" shrinkToFit="1"/>
    </xf>
    <xf numFmtId="2" fontId="3" fillId="34" borderId="31" xfId="0" applyNumberFormat="1" applyFont="1" applyFill="1" applyBorder="1" applyAlignment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2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178" fontId="3" fillId="34" borderId="36" xfId="0" applyNumberFormat="1" applyFont="1" applyFill="1" applyBorder="1" applyAlignment="1">
      <alignment horizontal="center" vertical="center" shrinkToFit="1"/>
    </xf>
    <xf numFmtId="178" fontId="3" fillId="34" borderId="31" xfId="0" applyNumberFormat="1" applyFont="1" applyFill="1" applyBorder="1" applyAlignment="1">
      <alignment horizontal="center" vertical="center" shrinkToFit="1"/>
    </xf>
    <xf numFmtId="0" fontId="3" fillId="35" borderId="34" xfId="0" applyFont="1" applyFill="1" applyBorder="1" applyAlignment="1">
      <alignment horizontal="center" vertical="center" shrinkToFit="1"/>
    </xf>
    <xf numFmtId="0" fontId="3" fillId="35" borderId="37" xfId="0" applyFont="1" applyFill="1" applyBorder="1" applyAlignment="1" applyProtection="1">
      <alignment vertical="center" shrinkToFit="1"/>
      <protection locked="0"/>
    </xf>
    <xf numFmtId="0" fontId="3" fillId="35" borderId="38" xfId="0" applyFont="1" applyFill="1" applyBorder="1" applyAlignment="1">
      <alignment vertical="center" shrinkToFit="1"/>
    </xf>
    <xf numFmtId="0" fontId="3" fillId="35" borderId="39" xfId="0" applyFont="1" applyFill="1" applyBorder="1" applyAlignment="1">
      <alignment vertical="center" shrinkToFit="1"/>
    </xf>
    <xf numFmtId="0" fontId="3" fillId="35" borderId="37" xfId="0" applyFont="1" applyFill="1" applyBorder="1" applyAlignment="1">
      <alignment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3" fillId="35" borderId="31" xfId="0" applyFont="1" applyFill="1" applyBorder="1" applyAlignment="1">
      <alignment horizontal="center" vertical="center" shrinkToFit="1"/>
    </xf>
    <xf numFmtId="0" fontId="3" fillId="35" borderId="14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vertical="center" shrinkToFit="1"/>
    </xf>
    <xf numFmtId="0" fontId="5" fillId="35" borderId="20" xfId="0" applyFont="1" applyFill="1" applyBorder="1" applyAlignment="1" applyProtection="1">
      <alignment vertical="center" shrinkToFit="1"/>
      <protection locked="0"/>
    </xf>
    <xf numFmtId="0" fontId="3" fillId="35" borderId="40" xfId="0" applyFont="1" applyFill="1" applyBorder="1" applyAlignment="1">
      <alignment vertical="center" shrinkToFit="1"/>
    </xf>
    <xf numFmtId="0" fontId="44" fillId="0" borderId="0" xfId="0" applyFont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 shrinkToFit="1"/>
      <protection locked="0"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3" fillId="34" borderId="41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vertical="center" shrinkToFit="1"/>
      <protection locked="0"/>
    </xf>
    <xf numFmtId="0" fontId="3" fillId="34" borderId="25" xfId="0" applyFont="1" applyFill="1" applyBorder="1" applyAlignment="1" applyProtection="1">
      <alignment vertical="center" shrinkToFit="1"/>
      <protection locked="0"/>
    </xf>
    <xf numFmtId="0" fontId="5" fillId="34" borderId="14" xfId="0" applyFont="1" applyFill="1" applyBorder="1" applyAlignment="1" applyProtection="1">
      <alignment vertical="center" shrinkToFit="1"/>
      <protection locked="0"/>
    </xf>
    <xf numFmtId="0" fontId="3" fillId="34" borderId="20" xfId="0" applyFont="1" applyFill="1" applyBorder="1" applyAlignment="1" applyProtection="1">
      <alignment vertical="center" shrinkToFit="1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34" borderId="15" xfId="0" applyFont="1" applyFill="1" applyBorder="1" applyAlignment="1">
      <alignment vertical="center" shrinkToFit="1"/>
    </xf>
    <xf numFmtId="0" fontId="3" fillId="34" borderId="21" xfId="0" applyFont="1" applyFill="1" applyBorder="1" applyAlignment="1">
      <alignment vertical="center" shrinkToFit="1"/>
    </xf>
    <xf numFmtId="0" fontId="3" fillId="34" borderId="14" xfId="0" applyFont="1" applyFill="1" applyBorder="1" applyAlignment="1">
      <alignment vertical="center" shrinkToFit="1"/>
    </xf>
    <xf numFmtId="0" fontId="3" fillId="34" borderId="14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2" fontId="3" fillId="0" borderId="43" xfId="0" applyNumberFormat="1" applyFont="1" applyBorder="1" applyAlignment="1">
      <alignment horizontal="center" vertical="center" shrinkToFit="1"/>
    </xf>
    <xf numFmtId="2" fontId="3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right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2" fontId="3" fillId="0" borderId="21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right" vertical="center" shrinkToFit="1"/>
    </xf>
    <xf numFmtId="2" fontId="3" fillId="0" borderId="29" xfId="0" applyNumberFormat="1" applyFont="1" applyBorder="1" applyAlignment="1">
      <alignment horizontal="center" vertical="center" shrinkToFit="1"/>
    </xf>
    <xf numFmtId="2" fontId="3" fillId="0" borderId="3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2" fontId="3" fillId="0" borderId="47" xfId="0" applyNumberFormat="1" applyFont="1" applyBorder="1" applyAlignment="1">
      <alignment horizontal="center" vertical="center" shrinkToFit="1"/>
    </xf>
    <xf numFmtId="2" fontId="3" fillId="0" borderId="20" xfId="0" applyNumberFormat="1" applyFont="1" applyBorder="1" applyAlignment="1">
      <alignment horizontal="center" vertical="center" shrinkToFit="1"/>
    </xf>
    <xf numFmtId="2" fontId="3" fillId="0" borderId="26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38" fontId="3" fillId="0" borderId="20" xfId="47" applyNumberFormat="1" applyFont="1" applyFill="1" applyBorder="1" applyAlignment="1" applyProtection="1">
      <alignment horizontal="center" vertical="center" shrinkToFit="1"/>
      <protection locked="0"/>
    </xf>
    <xf numFmtId="38" fontId="3" fillId="0" borderId="15" xfId="47" applyNumberFormat="1" applyFont="1" applyFill="1" applyBorder="1" applyAlignment="1" applyProtection="1">
      <alignment horizontal="center" vertical="center" shrinkToFit="1"/>
      <protection locked="0"/>
    </xf>
    <xf numFmtId="38" fontId="3" fillId="0" borderId="13" xfId="47" applyNumberFormat="1" applyFont="1" applyFill="1" applyBorder="1" applyAlignment="1" applyProtection="1">
      <alignment horizontal="center" vertical="center" shrinkToFit="1"/>
      <protection locked="0"/>
    </xf>
    <xf numFmtId="184" fontId="3" fillId="34" borderId="20" xfId="47" applyNumberFormat="1" applyFont="1" applyFill="1" applyBorder="1" applyAlignment="1">
      <alignment horizontal="center" vertical="center" shrinkToFit="1"/>
    </xf>
    <xf numFmtId="184" fontId="3" fillId="34" borderId="13" xfId="47" applyNumberFormat="1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38" fontId="3" fillId="0" borderId="26" xfId="47" applyNumberFormat="1" applyFont="1" applyFill="1" applyBorder="1" applyAlignment="1" applyProtection="1">
      <alignment horizontal="center" vertical="center" shrinkToFit="1"/>
      <protection locked="0"/>
    </xf>
    <xf numFmtId="38" fontId="3" fillId="0" borderId="24" xfId="47" applyNumberFormat="1" applyFont="1" applyFill="1" applyBorder="1" applyAlignment="1" applyProtection="1">
      <alignment horizontal="center" vertical="center" shrinkToFit="1"/>
      <protection locked="0"/>
    </xf>
    <xf numFmtId="38" fontId="3" fillId="0" borderId="25" xfId="47" applyNumberFormat="1" applyFont="1" applyFill="1" applyBorder="1" applyAlignment="1" applyProtection="1">
      <alignment horizontal="center" vertical="center" shrinkToFit="1"/>
      <protection locked="0"/>
    </xf>
    <xf numFmtId="184" fontId="3" fillId="34" borderId="26" xfId="47" applyNumberFormat="1" applyFont="1" applyFill="1" applyBorder="1" applyAlignment="1">
      <alignment horizontal="center" vertical="center" shrinkToFit="1"/>
    </xf>
    <xf numFmtId="184" fontId="3" fillId="34" borderId="25" xfId="47" applyNumberFormat="1" applyFont="1" applyFill="1" applyBorder="1" applyAlignment="1">
      <alignment horizontal="center" vertical="center" shrinkToFit="1"/>
    </xf>
    <xf numFmtId="38" fontId="6" fillId="34" borderId="52" xfId="47" applyFont="1" applyFill="1" applyBorder="1" applyAlignment="1">
      <alignment horizontal="center" vertical="center" shrinkToFit="1"/>
    </xf>
    <xf numFmtId="38" fontId="6" fillId="34" borderId="53" xfId="47" applyFont="1" applyFill="1" applyBorder="1" applyAlignment="1">
      <alignment horizontal="center" vertical="center" shrinkToFit="1"/>
    </xf>
    <xf numFmtId="38" fontId="6" fillId="34" borderId="54" xfId="47" applyFont="1" applyFill="1" applyBorder="1" applyAlignment="1">
      <alignment horizontal="center" vertical="center" shrinkToFit="1"/>
    </xf>
    <xf numFmtId="184" fontId="6" fillId="34" borderId="55" xfId="47" applyNumberFormat="1" applyFont="1" applyFill="1" applyBorder="1" applyAlignment="1">
      <alignment horizontal="center" vertical="center" shrinkToFit="1"/>
    </xf>
    <xf numFmtId="184" fontId="6" fillId="34" borderId="56" xfId="47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38" fontId="3" fillId="0" borderId="55" xfId="47" applyFont="1" applyFill="1" applyBorder="1" applyAlignment="1" applyProtection="1">
      <alignment horizontal="center" vertical="center" shrinkToFit="1"/>
      <protection locked="0"/>
    </xf>
    <xf numFmtId="38" fontId="3" fillId="0" borderId="53" xfId="47" applyFont="1" applyFill="1" applyBorder="1" applyAlignment="1" applyProtection="1">
      <alignment horizontal="center" vertical="center" shrinkToFit="1"/>
      <protection locked="0"/>
    </xf>
    <xf numFmtId="38" fontId="3" fillId="0" borderId="54" xfId="47" applyFont="1" applyFill="1" applyBorder="1" applyAlignment="1" applyProtection="1">
      <alignment horizontal="center" vertical="center" shrinkToFit="1"/>
      <protection locked="0"/>
    </xf>
    <xf numFmtId="184" fontId="3" fillId="34" borderId="55" xfId="47" applyNumberFormat="1" applyFont="1" applyFill="1" applyBorder="1" applyAlignment="1">
      <alignment horizontal="center" vertical="center" shrinkToFit="1"/>
    </xf>
    <xf numFmtId="184" fontId="3" fillId="34" borderId="54" xfId="47" applyNumberFormat="1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178" fontId="3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>
      <alignment horizontal="center" vertical="center" wrapText="1" shrinkToFit="1"/>
    </xf>
    <xf numFmtId="178" fontId="3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52" xfId="0" applyFont="1" applyFill="1" applyBorder="1" applyAlignment="1">
      <alignment horizontal="right" vertical="center" shrinkToFit="1"/>
    </xf>
    <xf numFmtId="0" fontId="6" fillId="34" borderId="53" xfId="0" applyFont="1" applyFill="1" applyBorder="1" applyAlignment="1">
      <alignment horizontal="right" vertical="center" shrinkToFit="1"/>
    </xf>
    <xf numFmtId="0" fontId="6" fillId="34" borderId="53" xfId="0" applyFont="1" applyFill="1" applyBorder="1" applyAlignment="1" applyProtection="1">
      <alignment horizontal="left" vertical="center" shrinkToFit="1"/>
      <protection locked="0"/>
    </xf>
    <xf numFmtId="0" fontId="6" fillId="34" borderId="56" xfId="0" applyFont="1" applyFill="1" applyBorder="1" applyAlignment="1" applyProtection="1">
      <alignment horizontal="left" vertical="center" shrinkToFit="1"/>
      <protection locked="0"/>
    </xf>
    <xf numFmtId="185" fontId="3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85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vertical="center" shrinkToFit="1"/>
    </xf>
    <xf numFmtId="0" fontId="3" fillId="35" borderId="13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8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85" fontId="3" fillId="34" borderId="14" xfId="0" applyNumberFormat="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38" fontId="3" fillId="34" borderId="14" xfId="47" applyFont="1" applyFill="1" applyBorder="1" applyAlignment="1">
      <alignment horizontal="center" vertical="center" shrinkToFit="1"/>
    </xf>
    <xf numFmtId="179" fontId="3" fillId="34" borderId="14" xfId="0" applyNumberFormat="1" applyFont="1" applyFill="1" applyBorder="1" applyAlignment="1">
      <alignment horizontal="center" vertical="center" shrinkToFit="1"/>
    </xf>
    <xf numFmtId="178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 shrinkToFit="1"/>
    </xf>
    <xf numFmtId="185" fontId="6" fillId="34" borderId="52" xfId="0" applyNumberFormat="1" applyFont="1" applyFill="1" applyBorder="1" applyAlignment="1">
      <alignment horizontal="center" vertical="center" shrinkToFit="1"/>
    </xf>
    <xf numFmtId="185" fontId="6" fillId="34" borderId="53" xfId="0" applyNumberFormat="1" applyFont="1" applyFill="1" applyBorder="1" applyAlignment="1">
      <alignment horizontal="center" vertical="center" shrinkToFit="1"/>
    </xf>
    <xf numFmtId="185" fontId="6" fillId="34" borderId="54" xfId="0" applyNumberFormat="1" applyFont="1" applyFill="1" applyBorder="1" applyAlignment="1">
      <alignment horizontal="center" vertical="center" shrinkToFit="1"/>
    </xf>
    <xf numFmtId="185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185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57" xfId="0" applyFont="1" applyFill="1" applyBorder="1" applyAlignment="1">
      <alignment vertical="center" shrinkToFit="1"/>
    </xf>
    <xf numFmtId="0" fontId="3" fillId="35" borderId="34" xfId="0" applyFont="1" applyFill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33" xfId="0" applyFont="1" applyFill="1" applyBorder="1" applyAlignment="1">
      <alignment vertical="center" wrapText="1" shrinkToFit="1"/>
    </xf>
    <xf numFmtId="0" fontId="5" fillId="0" borderId="34" xfId="0" applyFont="1" applyFill="1" applyBorder="1" applyAlignment="1">
      <alignment vertical="center" wrapText="1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185" fontId="3" fillId="34" borderId="20" xfId="0" applyNumberFormat="1" applyFont="1" applyFill="1" applyBorder="1" applyAlignment="1">
      <alignment horizontal="center" vertical="center" shrinkToFit="1"/>
    </xf>
    <xf numFmtId="185" fontId="3" fillId="34" borderId="13" xfId="0" applyNumberFormat="1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185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185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85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85" fontId="5" fillId="0" borderId="13" xfId="0" applyNumberFormat="1" applyFont="1" applyFill="1" applyBorder="1" applyAlignment="1">
      <alignment vertical="center" shrinkToFit="1"/>
    </xf>
    <xf numFmtId="2" fontId="3" fillId="34" borderId="14" xfId="0" applyNumberFormat="1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5" borderId="60" xfId="0" applyFont="1" applyFill="1" applyBorder="1" applyAlignment="1">
      <alignment horizontal="center" vertical="center" shrinkToFit="1"/>
    </xf>
    <xf numFmtId="0" fontId="3" fillId="35" borderId="36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0" xfId="0" applyFont="1" applyFill="1" applyBorder="1" applyAlignment="1" applyProtection="1" quotePrefix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2" fontId="3" fillId="0" borderId="60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2" fontId="3" fillId="34" borderId="60" xfId="0" applyNumberFormat="1" applyFont="1" applyFill="1" applyBorder="1" applyAlignment="1">
      <alignment horizontal="center" vertical="center" shrinkToFit="1"/>
    </xf>
    <xf numFmtId="2" fontId="3" fillId="34" borderId="36" xfId="0" applyNumberFormat="1" applyFont="1" applyFill="1" applyBorder="1" applyAlignment="1">
      <alignment horizontal="center" vertical="center" shrinkToFit="1"/>
    </xf>
    <xf numFmtId="1" fontId="3" fillId="0" borderId="6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185" fontId="3" fillId="34" borderId="60" xfId="0" applyNumberFormat="1" applyFont="1" applyFill="1" applyBorder="1" applyAlignment="1">
      <alignment horizontal="center" vertical="center" shrinkToFit="1"/>
    </xf>
    <xf numFmtId="185" fontId="3" fillId="34" borderId="36" xfId="0" applyNumberFormat="1" applyFont="1" applyFill="1" applyBorder="1" applyAlignment="1">
      <alignment horizontal="center" vertical="center" shrinkToFit="1"/>
    </xf>
    <xf numFmtId="185" fontId="3" fillId="34" borderId="31" xfId="0" applyNumberFormat="1" applyFont="1" applyFill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78" fontId="3" fillId="34" borderId="60" xfId="0" applyNumberFormat="1" applyFont="1" applyFill="1" applyBorder="1" applyAlignment="1">
      <alignment horizontal="center" vertical="center" shrinkToFit="1"/>
    </xf>
    <xf numFmtId="178" fontId="3" fillId="34" borderId="36" xfId="0" applyNumberFormat="1" applyFont="1" applyFill="1" applyBorder="1" applyAlignment="1">
      <alignment horizontal="center" vertical="center" shrinkToFit="1"/>
    </xf>
    <xf numFmtId="178" fontId="3" fillId="34" borderId="31" xfId="0" applyNumberFormat="1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vertical="center" wrapText="1" shrinkToFit="1"/>
    </xf>
    <xf numFmtId="0" fontId="3" fillId="0" borderId="58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178" fontId="3" fillId="34" borderId="62" xfId="0" applyNumberFormat="1" applyFont="1" applyFill="1" applyBorder="1" applyAlignment="1">
      <alignment horizontal="center" vertical="center" shrinkToFit="1"/>
    </xf>
    <xf numFmtId="178" fontId="3" fillId="34" borderId="63" xfId="0" applyNumberFormat="1" applyFont="1" applyFill="1" applyBorder="1" applyAlignment="1">
      <alignment horizontal="center" vertical="center" shrinkToFit="1"/>
    </xf>
    <xf numFmtId="178" fontId="3" fillId="34" borderId="64" xfId="0" applyNumberFormat="1" applyFont="1" applyFill="1" applyBorder="1" applyAlignment="1">
      <alignment horizontal="center" vertical="center" shrinkToFit="1"/>
    </xf>
    <xf numFmtId="185" fontId="6" fillId="34" borderId="10" xfId="0" applyNumberFormat="1" applyFont="1" applyFill="1" applyBorder="1" applyAlignment="1">
      <alignment horizontal="center" vertical="center" shrinkToFit="1"/>
    </xf>
    <xf numFmtId="185" fontId="6" fillId="34" borderId="11" xfId="0" applyNumberFormat="1" applyFont="1" applyFill="1" applyBorder="1" applyAlignment="1">
      <alignment horizontal="center" vertical="center" shrinkToFit="1"/>
    </xf>
    <xf numFmtId="185" fontId="6" fillId="34" borderId="12" xfId="0" applyNumberFormat="1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8" fontId="6" fillId="34" borderId="65" xfId="0" applyNumberFormat="1" applyFont="1" applyFill="1" applyBorder="1" applyAlignment="1">
      <alignment horizontal="center" vertical="center" shrinkToFit="1"/>
    </xf>
    <xf numFmtId="178" fontId="6" fillId="34" borderId="66" xfId="0" applyNumberFormat="1" applyFont="1" applyFill="1" applyBorder="1" applyAlignment="1">
      <alignment horizontal="center" vertical="center" shrinkToFit="1"/>
    </xf>
    <xf numFmtId="178" fontId="6" fillId="34" borderId="27" xfId="0" applyNumberFormat="1" applyFont="1" applyFill="1" applyBorder="1" applyAlignment="1">
      <alignment horizontal="center" vertical="center" shrinkToFit="1"/>
    </xf>
    <xf numFmtId="0" fontId="3" fillId="35" borderId="3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35" borderId="14" xfId="0" applyFont="1" applyFill="1" applyBorder="1" applyAlignment="1">
      <alignment horizontal="center" vertical="center" shrinkToFit="1"/>
    </xf>
    <xf numFmtId="0" fontId="3" fillId="35" borderId="20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vertical="center" shrinkToFit="1"/>
    </xf>
    <xf numFmtId="0" fontId="5" fillId="34" borderId="40" xfId="0" applyFont="1" applyFill="1" applyBorder="1" applyAlignment="1">
      <alignment vertical="center" shrinkToFit="1"/>
    </xf>
    <xf numFmtId="178" fontId="3" fillId="33" borderId="60" xfId="0" applyNumberFormat="1" applyFont="1" applyFill="1" applyBorder="1" applyAlignment="1" applyProtection="1">
      <alignment horizontal="center" vertical="center" shrinkToFit="1"/>
      <protection locked="0"/>
    </xf>
    <xf numFmtId="185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Border="1" applyAlignment="1">
      <alignment vertical="center" shrinkToFit="1"/>
    </xf>
    <xf numFmtId="0" fontId="5" fillId="35" borderId="3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85" fontId="6" fillId="33" borderId="20" xfId="0" applyNumberFormat="1" applyFont="1" applyFill="1" applyBorder="1" applyAlignment="1" applyProtection="1">
      <alignment horizontal="center" vertical="center" shrinkToFit="1"/>
      <protection locked="0"/>
    </xf>
    <xf numFmtId="185" fontId="6" fillId="33" borderId="15" xfId="0" applyNumberFormat="1" applyFont="1" applyFill="1" applyBorder="1" applyAlignment="1" applyProtection="1">
      <alignment horizontal="center" vertical="center" shrinkToFit="1"/>
      <protection locked="0"/>
    </xf>
    <xf numFmtId="185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6" xfId="0" applyFont="1" applyFill="1" applyBorder="1" applyAlignment="1">
      <alignment horizontal="center" vertical="center" shrinkToFit="1"/>
    </xf>
    <xf numFmtId="0" fontId="6" fillId="34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187" fontId="6" fillId="34" borderId="26" xfId="0" applyNumberFormat="1" applyFont="1" applyFill="1" applyBorder="1" applyAlignment="1">
      <alignment horizontal="right" vertical="center" shrinkToFit="1"/>
    </xf>
    <xf numFmtId="187" fontId="6" fillId="34" borderId="24" xfId="0" applyNumberFormat="1" applyFont="1" applyFill="1" applyBorder="1" applyAlignment="1">
      <alignment horizontal="right" vertical="center" shrinkToFit="1"/>
    </xf>
    <xf numFmtId="185" fontId="6" fillId="34" borderId="24" xfId="0" applyNumberFormat="1" applyFont="1" applyFill="1" applyBorder="1" applyAlignment="1">
      <alignment horizontal="left" vertical="center" shrinkToFit="1"/>
    </xf>
    <xf numFmtId="185" fontId="6" fillId="34" borderId="25" xfId="0" applyNumberFormat="1" applyFont="1" applyFill="1" applyBorder="1" applyAlignment="1">
      <alignment horizontal="left" vertical="center" shrinkToFit="1"/>
    </xf>
    <xf numFmtId="2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186" fontId="6" fillId="34" borderId="20" xfId="0" applyNumberFormat="1" applyFont="1" applyFill="1" applyBorder="1" applyAlignment="1">
      <alignment horizontal="center" vertical="center" shrinkToFit="1"/>
    </xf>
    <xf numFmtId="186" fontId="6" fillId="34" borderId="15" xfId="0" applyNumberFormat="1" applyFont="1" applyFill="1" applyBorder="1" applyAlignment="1">
      <alignment horizontal="center" vertical="center" shrinkToFit="1"/>
    </xf>
    <xf numFmtId="186" fontId="6" fillId="34" borderId="13" xfId="0" applyNumberFormat="1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2" fontId="3" fillId="0" borderId="29" xfId="0" applyNumberFormat="1" applyFont="1" applyBorder="1" applyAlignment="1">
      <alignment horizontal="center" vertical="center" shrinkToFit="1"/>
    </xf>
    <xf numFmtId="2" fontId="3" fillId="0" borderId="30" xfId="0" applyNumberFormat="1" applyFont="1" applyBorder="1" applyAlignment="1">
      <alignment horizontal="center" vertical="center" shrinkToFit="1"/>
    </xf>
    <xf numFmtId="2" fontId="3" fillId="0" borderId="43" xfId="0" applyNumberFormat="1" applyFont="1" applyBorder="1" applyAlignment="1">
      <alignment horizontal="center" vertical="center" shrinkToFit="1"/>
    </xf>
    <xf numFmtId="2" fontId="3" fillId="0" borderId="44" xfId="0" applyNumberFormat="1" applyFont="1" applyBorder="1" applyAlignment="1">
      <alignment horizontal="center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2" fontId="3" fillId="0" borderId="21" xfId="0" applyNumberFormat="1" applyFont="1" applyBorder="1" applyAlignment="1">
      <alignment horizontal="center" vertic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70</xdr:row>
      <xdr:rowOff>38100</xdr:rowOff>
    </xdr:from>
    <xdr:to>
      <xdr:col>12</xdr:col>
      <xdr:colOff>2886075</xdr:colOff>
      <xdr:row>77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5486400" y="14620875"/>
          <a:ext cx="2867025" cy="1600200"/>
          <a:chOff x="1306" y="1083"/>
          <a:chExt cx="198" cy="77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7"/>
  <sheetViews>
    <sheetView tabSelected="1" view="pageBreakPreview" zoomScale="85" zoomScaleNormal="75" zoomScaleSheetLayoutView="85" zoomScalePageLayoutView="0" workbookViewId="0" topLeftCell="A23">
      <selection activeCell="V38" sqref="V38"/>
    </sheetView>
  </sheetViews>
  <sheetFormatPr defaultColWidth="9.140625" defaultRowHeight="16.5" customHeight="1"/>
  <cols>
    <col min="1" max="1" width="1.57421875" style="0" customWidth="1"/>
    <col min="2" max="2" width="2.57421875" style="0" customWidth="1"/>
    <col min="3" max="3" width="12.57421875" style="0" customWidth="1"/>
    <col min="4" max="4" width="16.57421875" style="0" customWidth="1"/>
    <col min="5" max="5" width="2.57421875" style="0" customWidth="1"/>
    <col min="6" max="6" width="8.57421875" style="0" customWidth="1"/>
    <col min="7" max="7" width="10.57421875" style="0" customWidth="1"/>
    <col min="8" max="9" width="3.57421875" style="0" customWidth="1"/>
    <col min="10" max="12" width="6.57421875" style="0" customWidth="1"/>
    <col min="13" max="13" width="43.57421875" style="0" customWidth="1"/>
    <col min="14" max="14" width="6.57421875" style="0" customWidth="1"/>
    <col min="15" max="15" width="1.57421875" style="0" customWidth="1"/>
    <col min="17" max="17" width="8.00390625" style="90" customWidth="1"/>
    <col min="18" max="18" width="13.7109375" style="91" customWidth="1"/>
    <col min="19" max="19" width="20.421875" style="91" customWidth="1"/>
    <col min="20" max="21" width="19.421875" style="91" customWidth="1"/>
    <col min="22" max="22" width="20.421875" style="92" customWidth="1"/>
    <col min="23" max="23" width="18.57421875" style="92" customWidth="1"/>
  </cols>
  <sheetData>
    <row r="1" ht="16.5" customHeight="1">
      <c r="N1" s="63" t="s">
        <v>214</v>
      </c>
    </row>
    <row r="2" spans="2:13" ht="16.5" customHeight="1">
      <c r="B2" s="1" t="s">
        <v>213</v>
      </c>
      <c r="K2" s="64"/>
      <c r="L2" s="65"/>
      <c r="M2" t="s">
        <v>216</v>
      </c>
    </row>
    <row r="3" spans="11:13" ht="16.5" customHeight="1">
      <c r="K3" s="68"/>
      <c r="L3" s="69"/>
      <c r="M3" t="s">
        <v>217</v>
      </c>
    </row>
    <row r="4" spans="11:13" ht="16.5" customHeight="1">
      <c r="K4" s="66"/>
      <c r="L4" s="67"/>
      <c r="M4" t="s">
        <v>215</v>
      </c>
    </row>
    <row r="5" ht="8.25" customHeight="1" thickBot="1"/>
    <row r="6" spans="2:14" ht="18" customHeight="1" thickBot="1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 t="s">
        <v>1</v>
      </c>
      <c r="N6" s="4" t="s">
        <v>2</v>
      </c>
    </row>
    <row r="7" spans="2:14" ht="16.5" customHeight="1">
      <c r="B7" s="172" t="s">
        <v>165</v>
      </c>
      <c r="C7" s="173"/>
      <c r="D7" s="173"/>
      <c r="E7" s="173"/>
      <c r="F7" s="173"/>
      <c r="G7" s="52" t="s">
        <v>166</v>
      </c>
      <c r="H7" s="235" t="s">
        <v>167</v>
      </c>
      <c r="I7" s="235"/>
      <c r="J7" s="235"/>
      <c r="K7" s="235"/>
      <c r="L7" s="235"/>
      <c r="M7" s="53"/>
      <c r="N7" s="54"/>
    </row>
    <row r="8" spans="2:14" ht="16.5" customHeight="1">
      <c r="B8" s="111"/>
      <c r="C8" s="114" t="s">
        <v>3</v>
      </c>
      <c r="D8" s="115"/>
      <c r="E8" s="116" t="s">
        <v>4</v>
      </c>
      <c r="F8" s="116"/>
      <c r="G8" s="6" t="s">
        <v>5</v>
      </c>
      <c r="H8" s="117" t="e">
        <f>#REF!</f>
        <v>#REF!</v>
      </c>
      <c r="I8" s="118"/>
      <c r="J8" s="119"/>
      <c r="K8" s="120" t="e">
        <f>IF(H8="","",H8/10000)</f>
        <v>#REF!</v>
      </c>
      <c r="L8" s="121"/>
      <c r="M8" s="81" t="s">
        <v>6</v>
      </c>
      <c r="N8" s="122"/>
    </row>
    <row r="9" spans="2:14" ht="16.5" customHeight="1" thickBot="1">
      <c r="B9" s="112"/>
      <c r="C9" s="125" t="s">
        <v>7</v>
      </c>
      <c r="D9" s="126"/>
      <c r="E9" s="116" t="s">
        <v>8</v>
      </c>
      <c r="F9" s="116"/>
      <c r="G9" s="6" t="s">
        <v>5</v>
      </c>
      <c r="H9" s="127" t="e">
        <f>#REF!-H8</f>
        <v>#REF!</v>
      </c>
      <c r="I9" s="128"/>
      <c r="J9" s="129"/>
      <c r="K9" s="130" t="e">
        <f>IF(H9="","",H9/10000)</f>
        <v>#REF!</v>
      </c>
      <c r="L9" s="131"/>
      <c r="M9" s="81" t="s">
        <v>9</v>
      </c>
      <c r="N9" s="123"/>
    </row>
    <row r="10" spans="2:14" ht="16.5" customHeight="1" thickBot="1">
      <c r="B10" s="113"/>
      <c r="C10" s="7" t="s">
        <v>10</v>
      </c>
      <c r="D10" s="5"/>
      <c r="E10" s="116" t="s">
        <v>11</v>
      </c>
      <c r="F10" s="116"/>
      <c r="G10" s="6" t="s">
        <v>5</v>
      </c>
      <c r="H10" s="132" t="e">
        <f>IF(H8="","",H8+H9)</f>
        <v>#REF!</v>
      </c>
      <c r="I10" s="133"/>
      <c r="J10" s="134"/>
      <c r="K10" s="135" t="e">
        <f>IF(H10="","",H10/10000)</f>
        <v>#REF!</v>
      </c>
      <c r="L10" s="136"/>
      <c r="M10" s="70" t="s">
        <v>12</v>
      </c>
      <c r="N10" s="124"/>
    </row>
    <row r="11" spans="2:21" ht="16.5" customHeight="1" thickBot="1">
      <c r="B11" s="8"/>
      <c r="C11" s="137" t="s">
        <v>13</v>
      </c>
      <c r="D11" s="126"/>
      <c r="E11" s="116" t="s">
        <v>14</v>
      </c>
      <c r="F11" s="116"/>
      <c r="G11" s="6" t="s">
        <v>5</v>
      </c>
      <c r="H11" s="138"/>
      <c r="I11" s="139"/>
      <c r="J11" s="140"/>
      <c r="K11" s="141">
        <f>IF(H11="","",H11/10000)</f>
      </c>
      <c r="L11" s="142"/>
      <c r="M11" s="81" t="s">
        <v>15</v>
      </c>
      <c r="N11" s="122"/>
      <c r="Q11" s="273" t="s">
        <v>218</v>
      </c>
      <c r="R11" s="274"/>
      <c r="S11" s="274"/>
      <c r="T11" s="274"/>
      <c r="U11" s="275"/>
    </row>
    <row r="12" spans="2:21" ht="16.5" customHeight="1" thickBot="1" thickTop="1">
      <c r="B12" s="8"/>
      <c r="C12" s="7" t="s">
        <v>16</v>
      </c>
      <c r="D12" s="5"/>
      <c r="E12" s="116" t="s">
        <v>17</v>
      </c>
      <c r="F12" s="116"/>
      <c r="G12" s="6" t="s">
        <v>5</v>
      </c>
      <c r="H12" s="132" t="e">
        <f>IF(H10="","",H10+H11)</f>
        <v>#REF!</v>
      </c>
      <c r="I12" s="133"/>
      <c r="J12" s="134"/>
      <c r="K12" s="135" t="e">
        <f>IF(H12="","",H12/10000)</f>
        <v>#REF!</v>
      </c>
      <c r="L12" s="136"/>
      <c r="M12" s="70" t="s">
        <v>18</v>
      </c>
      <c r="N12" s="124"/>
      <c r="Q12" s="93" t="s">
        <v>219</v>
      </c>
      <c r="R12" s="183" t="s">
        <v>220</v>
      </c>
      <c r="S12" s="183"/>
      <c r="T12" s="183" t="s">
        <v>221</v>
      </c>
      <c r="U12" s="183"/>
    </row>
    <row r="13" spans="2:21" ht="16.5" customHeight="1">
      <c r="B13" s="9"/>
      <c r="C13" s="143" t="s">
        <v>19</v>
      </c>
      <c r="D13" s="10" t="s">
        <v>20</v>
      </c>
      <c r="E13" s="116" t="s">
        <v>21</v>
      </c>
      <c r="F13" s="116"/>
      <c r="G13" s="6"/>
      <c r="H13" s="145" t="e">
        <f>#REF!</f>
        <v>#REF!</v>
      </c>
      <c r="I13" s="145"/>
      <c r="J13" s="145"/>
      <c r="K13" s="145"/>
      <c r="L13" s="145"/>
      <c r="M13" s="71" t="s">
        <v>22</v>
      </c>
      <c r="N13" s="146"/>
      <c r="Q13" s="10" t="s">
        <v>222</v>
      </c>
      <c r="R13" s="6" t="s">
        <v>223</v>
      </c>
      <c r="S13" s="6" t="s">
        <v>224</v>
      </c>
      <c r="T13" s="6" t="s">
        <v>225</v>
      </c>
      <c r="U13" s="6" t="s">
        <v>224</v>
      </c>
    </row>
    <row r="14" spans="2:21" ht="16.5" customHeight="1" thickBot="1">
      <c r="B14" s="11"/>
      <c r="C14" s="144"/>
      <c r="D14" s="10" t="s">
        <v>23</v>
      </c>
      <c r="E14" s="116" t="s">
        <v>24</v>
      </c>
      <c r="F14" s="116"/>
      <c r="G14" s="6"/>
      <c r="H14" s="147" t="e">
        <f>#REF!</f>
        <v>#REF!</v>
      </c>
      <c r="I14" s="147"/>
      <c r="J14" s="147"/>
      <c r="K14" s="147"/>
      <c r="L14" s="147"/>
      <c r="M14" s="71" t="s">
        <v>22</v>
      </c>
      <c r="N14" s="124"/>
      <c r="Q14" s="10" t="s">
        <v>226</v>
      </c>
      <c r="R14" s="6" t="s">
        <v>227</v>
      </c>
      <c r="S14" s="6" t="s">
        <v>228</v>
      </c>
      <c r="T14" s="6" t="s">
        <v>228</v>
      </c>
      <c r="U14" s="6" t="s">
        <v>228</v>
      </c>
    </row>
    <row r="15" spans="2:21" ht="16.5" customHeight="1" thickBot="1">
      <c r="B15" s="8"/>
      <c r="C15" s="7" t="s">
        <v>25</v>
      </c>
      <c r="D15" s="28" t="s">
        <v>275</v>
      </c>
      <c r="E15" s="116" t="s">
        <v>26</v>
      </c>
      <c r="F15" s="116"/>
      <c r="G15" s="14"/>
      <c r="H15" s="148" t="s">
        <v>27</v>
      </c>
      <c r="I15" s="149"/>
      <c r="J15" s="149"/>
      <c r="K15" s="150">
        <v>10</v>
      </c>
      <c r="L15" s="151"/>
      <c r="M15" s="72"/>
      <c r="N15" s="15"/>
      <c r="Q15" s="10" t="s">
        <v>229</v>
      </c>
      <c r="R15" s="6" t="s">
        <v>230</v>
      </c>
      <c r="S15" s="6" t="s">
        <v>231</v>
      </c>
      <c r="T15" s="6" t="s">
        <v>232</v>
      </c>
      <c r="U15" s="6" t="s">
        <v>233</v>
      </c>
    </row>
    <row r="16" spans="2:21" ht="16.5" customHeight="1">
      <c r="B16" s="9"/>
      <c r="C16" s="143" t="s">
        <v>28</v>
      </c>
      <c r="D16" s="10" t="s">
        <v>20</v>
      </c>
      <c r="E16" s="116" t="s">
        <v>29</v>
      </c>
      <c r="F16" s="116"/>
      <c r="G16" s="6" t="s">
        <v>30</v>
      </c>
      <c r="H16" s="152">
        <v>0.035072</v>
      </c>
      <c r="I16" s="152"/>
      <c r="J16" s="152"/>
      <c r="K16" s="152"/>
      <c r="L16" s="152"/>
      <c r="M16" s="71" t="s">
        <v>22</v>
      </c>
      <c r="N16" s="153"/>
      <c r="Q16" s="10" t="s">
        <v>234</v>
      </c>
      <c r="R16" s="6" t="s">
        <v>235</v>
      </c>
      <c r="S16" s="6" t="s">
        <v>236</v>
      </c>
      <c r="T16" s="6" t="s">
        <v>237</v>
      </c>
      <c r="U16" s="6" t="s">
        <v>238</v>
      </c>
    </row>
    <row r="17" spans="2:21" ht="16.5" customHeight="1" thickBot="1">
      <c r="B17" s="11"/>
      <c r="C17" s="144"/>
      <c r="D17" s="10" t="s">
        <v>23</v>
      </c>
      <c r="E17" s="116" t="s">
        <v>31</v>
      </c>
      <c r="F17" s="116"/>
      <c r="G17" s="6" t="s">
        <v>32</v>
      </c>
      <c r="H17" s="155">
        <v>0.10865</v>
      </c>
      <c r="I17" s="155"/>
      <c r="J17" s="155"/>
      <c r="K17" s="155"/>
      <c r="L17" s="155"/>
      <c r="M17" s="71" t="s">
        <v>22</v>
      </c>
      <c r="N17" s="154"/>
      <c r="Q17" s="33" t="s">
        <v>239</v>
      </c>
      <c r="R17" s="88" t="s">
        <v>240</v>
      </c>
      <c r="S17" s="88" t="s">
        <v>241</v>
      </c>
      <c r="T17" s="88" t="s">
        <v>241</v>
      </c>
      <c r="U17" s="88" t="s">
        <v>241</v>
      </c>
    </row>
    <row r="18" spans="2:21" ht="16.5" customHeight="1">
      <c r="B18" s="60"/>
      <c r="C18" s="156" t="s">
        <v>33</v>
      </c>
      <c r="D18" s="156"/>
      <c r="E18" s="156"/>
      <c r="F18" s="156"/>
      <c r="G18" s="156"/>
      <c r="H18" s="156"/>
      <c r="I18" s="156"/>
      <c r="J18" s="156"/>
      <c r="K18" s="156"/>
      <c r="L18" s="157"/>
      <c r="M18" s="61" t="s">
        <v>34</v>
      </c>
      <c r="N18" s="62"/>
      <c r="Q18" s="94" t="s">
        <v>242</v>
      </c>
      <c r="R18" s="95" t="str">
        <f>IF(H34&lt;0.2,"-",IF(H34&gt;1,"-",IF(H32&gt;=2,"-",IF(H33=1,ROUND((0.475*H34+0.945)*H37^2+(6.07*H34+1.01)*H37+2.57*H34-0.188,2),"-"))))</f>
        <v>-</v>
      </c>
      <c r="S18" s="95" t="str">
        <f>IF(H34&lt;=1,"-",IF(H34&gt;=10,"-",IF(H32&gt;=2,"-",IF(H33=1,(6.244*H34+2.853)*H37+0.93*H34^2+1.606*H34-0.773,"-"))))</f>
        <v>-</v>
      </c>
      <c r="T18" s="95" t="str">
        <f>IF(H34&lt;0.3,"-",IF(H34&gt;1,"-",IF(H32&gt;=2,"-",IF(H33=2,(1.497*H34-0.1)*H37+1.13*H34^2+0.638*H34-0.011,"-"))))</f>
        <v>-</v>
      </c>
      <c r="U18" s="96" t="str">
        <f>IF(H34&lt;=1,"-",IF(H34&gt;=10,"-",IF(H32&gt;=2,"-",IF(H33=2,(2.556*H34-2.052)*H37+0.924*H34^2+0.993*H34-0.087,"-"))))</f>
        <v>-</v>
      </c>
    </row>
    <row r="19" spans="2:21" ht="16.5" customHeight="1">
      <c r="B19" s="8"/>
      <c r="C19" s="158" t="s">
        <v>35</v>
      </c>
      <c r="D19" s="115"/>
      <c r="E19" s="116" t="s">
        <v>36</v>
      </c>
      <c r="F19" s="116"/>
      <c r="G19" s="6" t="s">
        <v>37</v>
      </c>
      <c r="H19" s="117"/>
      <c r="I19" s="118"/>
      <c r="J19" s="119"/>
      <c r="K19" s="120">
        <f>IF(H19="","",H19/10000)</f>
      </c>
      <c r="L19" s="121"/>
      <c r="M19" s="81" t="s">
        <v>38</v>
      </c>
      <c r="N19" s="18"/>
      <c r="Q19" s="97" t="s">
        <v>243</v>
      </c>
      <c r="R19" s="98" t="str">
        <f>IF(J34&lt;0.2,"-",IF(J34&gt;1,"-",IF(J32&gt;=2,"-",IF(J33=1,(0.475*J34+0.945)*J37^2+(6.07*J34+1.01)*J37+2.57*J34-0.188,"-"))))</f>
        <v>-</v>
      </c>
      <c r="S19" s="98" t="str">
        <f>IF(J34&lt;=1,"-",IF(J34&gt;=10,"-",IF(J32&gt;=2,"-",IF(J33=1,(6.244*J34+2.853)*J37+0.93*J34^2+1.606*J34-0.773,"-"))))</f>
        <v>-</v>
      </c>
      <c r="T19" s="98" t="str">
        <f>IF(J34&lt;0.3,"-",IF(J34&gt;1,"-",IF(J32&gt;=2,"-",IF(J33=2,(1.497*J34-0.1)*J37+1.13*J34^2+0.638*J34-0.011,"-"))))</f>
        <v>-</v>
      </c>
      <c r="U19" s="99" t="str">
        <f>IF(J34&lt;=1,"-",IF(J34&gt;=10,"-",IF(J32&gt;=2,"-",IF(J33=2,(2.556*J34-2.052)*J37+0.924*J34^2+0.993*J34-0.087,"-"))))</f>
        <v>-</v>
      </c>
    </row>
    <row r="20" spans="2:21" ht="16.5" customHeight="1">
      <c r="B20" s="11"/>
      <c r="C20" s="12" t="s">
        <v>39</v>
      </c>
      <c r="D20" s="10" t="s">
        <v>23</v>
      </c>
      <c r="E20" s="116" t="s">
        <v>40</v>
      </c>
      <c r="F20" s="116"/>
      <c r="G20" s="6"/>
      <c r="H20" s="159"/>
      <c r="I20" s="159"/>
      <c r="J20" s="159"/>
      <c r="K20" s="159"/>
      <c r="L20" s="159"/>
      <c r="M20" s="82" t="s">
        <v>41</v>
      </c>
      <c r="N20" s="18"/>
      <c r="Q20" s="97" t="s">
        <v>244</v>
      </c>
      <c r="R20" s="98" t="str">
        <f>IF(K34&lt;0.2,"-",IF(K34&gt;1,"-",IF(K32&gt;=2,"-",IF(K33=1,(0.475*K34+0.945)*K37^2+(6.07*K34+1.01)*K37+2.57*K34-0.188,"-"))))</f>
        <v>-</v>
      </c>
      <c r="S20" s="98" t="str">
        <f>IF(K34&lt;=1,"-",IF(K34&gt;=10,"-",IF(K32&gt;=2,"-",IF(K33=1,(6.244*K34+2.853)*K37+0.93*K34^2+1.606*K34-0.773,"-"))))</f>
        <v>-</v>
      </c>
      <c r="T20" s="98" t="str">
        <f>IF(K34&lt;0.3,"-",IF(K34&gt;1,"-",IF(K32&gt;=2,"-",IF(K33=2,(1.497*K34-0.1)*K37+1.13*K34^2+0.638*K34-0.011,"-"))))</f>
        <v>-</v>
      </c>
      <c r="U20" s="99" t="str">
        <f>IF(K34&lt;=1,"-",IF(K34&gt;=10,"-",IF(K32&gt;=2,"-",IF(K33=2,(2.556*K34-2.052)*K37+0.924*K34^2+0.993*K34-0.087,"-"))))</f>
        <v>-</v>
      </c>
    </row>
    <row r="21" spans="2:21" ht="16.5" customHeight="1" thickBot="1">
      <c r="B21" s="8"/>
      <c r="C21" s="5" t="s">
        <v>42</v>
      </c>
      <c r="D21" s="10" t="s">
        <v>23</v>
      </c>
      <c r="E21" s="116" t="s">
        <v>43</v>
      </c>
      <c r="F21" s="116"/>
      <c r="G21" s="6" t="s">
        <v>32</v>
      </c>
      <c r="H21" s="160">
        <f>IF(H19="","",1/360*H20*122.6*K19)</f>
      </c>
      <c r="I21" s="160"/>
      <c r="J21" s="160"/>
      <c r="K21" s="160"/>
      <c r="L21" s="160"/>
      <c r="M21" s="71" t="s">
        <v>274</v>
      </c>
      <c r="N21" s="18"/>
      <c r="Q21" s="100" t="s">
        <v>245</v>
      </c>
      <c r="R21" s="101" t="str">
        <f>IF(L34&lt;0.2,"-",IF(L34&gt;1,"-",IF(L32&gt;=2,"-",IF(L33=1,(0.475*L34+0.945)*L37^2+(6.07*L34+1.01)*L37+2.57*L34-0.188,"-"))))</f>
        <v>-</v>
      </c>
      <c r="S21" s="101" t="str">
        <f>IF(L34&lt;=1,"-",IF(L34&gt;=10,"-",IF(L32&gt;=2,"-",IF(L33=1,(6.244*L34+2.853)*L37+0.93*L34^2+1.606*L34-0.773,"-"))))</f>
        <v>-</v>
      </c>
      <c r="T21" s="101" t="str">
        <f>IF(L34&lt;0.3,"-",IF(L34&gt;1,"-",IF(L32&gt;=2,"-",IF(L33=2,(1.497*L34-0.1)*L37+1.13*L34^2+0.638*L34-0.011,"-"))))</f>
        <v>-</v>
      </c>
      <c r="U21" s="102" t="str">
        <f>IF(L34&lt;=1,"-",IF(L34&gt;=10,"-",IF(L32&gt;=2,"-",IF(L33=2,(2.556*L34-2.052)*L37+0.924*L34^2+0.993*L34-0.087,"-"))))</f>
        <v>-</v>
      </c>
    </row>
    <row r="22" spans="2:21" ht="16.5" customHeight="1">
      <c r="B22" s="9"/>
      <c r="C22" s="158" t="s">
        <v>44</v>
      </c>
      <c r="D22" s="115"/>
      <c r="E22" s="161" t="s">
        <v>45</v>
      </c>
      <c r="F22" s="162"/>
      <c r="G22" s="6" t="s">
        <v>37</v>
      </c>
      <c r="H22" s="163">
        <f>IF(H19="","",H12-+H19)</f>
      </c>
      <c r="I22" s="163"/>
      <c r="J22" s="163"/>
      <c r="K22" s="164">
        <f>IF(H19="","",H22/10000)</f>
      </c>
      <c r="L22" s="164"/>
      <c r="M22" s="73" t="s">
        <v>46</v>
      </c>
      <c r="N22" s="16"/>
      <c r="Q22" s="103"/>
      <c r="R22" s="104"/>
      <c r="S22" s="104"/>
      <c r="T22" s="104"/>
      <c r="U22" s="104"/>
    </row>
    <row r="23" spans="2:21" ht="16.5" customHeight="1">
      <c r="B23" s="9"/>
      <c r="C23" s="143" t="s">
        <v>39</v>
      </c>
      <c r="D23" s="10" t="s">
        <v>20</v>
      </c>
      <c r="E23" s="116" t="s">
        <v>47</v>
      </c>
      <c r="F23" s="116"/>
      <c r="G23" s="14"/>
      <c r="H23" s="165"/>
      <c r="I23" s="165"/>
      <c r="J23" s="165"/>
      <c r="K23" s="165"/>
      <c r="L23" s="165"/>
      <c r="M23" s="74" t="s">
        <v>22</v>
      </c>
      <c r="N23" s="153"/>
      <c r="Q23" s="10" t="s">
        <v>222</v>
      </c>
      <c r="R23" s="6" t="s">
        <v>223</v>
      </c>
      <c r="S23" s="6" t="s">
        <v>224</v>
      </c>
      <c r="T23" s="6" t="s">
        <v>225</v>
      </c>
      <c r="U23" s="6" t="s">
        <v>224</v>
      </c>
    </row>
    <row r="24" spans="2:21" ht="16.5" customHeight="1" thickBot="1">
      <c r="B24" s="11"/>
      <c r="C24" s="144"/>
      <c r="D24" s="10" t="s">
        <v>23</v>
      </c>
      <c r="E24" s="116" t="s">
        <v>48</v>
      </c>
      <c r="F24" s="116"/>
      <c r="G24" s="6"/>
      <c r="H24" s="147"/>
      <c r="I24" s="147"/>
      <c r="J24" s="147"/>
      <c r="K24" s="147"/>
      <c r="L24" s="147"/>
      <c r="M24" s="71" t="s">
        <v>22</v>
      </c>
      <c r="N24" s="154"/>
      <c r="Q24" s="10" t="s">
        <v>226</v>
      </c>
      <c r="R24" s="6" t="s">
        <v>227</v>
      </c>
      <c r="S24" s="6" t="s">
        <v>228</v>
      </c>
      <c r="T24" s="6" t="s">
        <v>228</v>
      </c>
      <c r="U24" s="6" t="s">
        <v>228</v>
      </c>
    </row>
    <row r="25" spans="2:14" ht="16.5" customHeight="1" thickBot="1">
      <c r="B25" s="19"/>
      <c r="C25" s="20" t="s">
        <v>49</v>
      </c>
      <c r="D25" s="21"/>
      <c r="E25" s="166" t="s">
        <v>50</v>
      </c>
      <c r="F25" s="166"/>
      <c r="G25" s="22" t="s">
        <v>32</v>
      </c>
      <c r="H25" s="167">
        <f>IF(H16="","",IF(H19="",H16-K25,H16-H21-K25))</f>
        <v>0.035072</v>
      </c>
      <c r="I25" s="168"/>
      <c r="J25" s="169"/>
      <c r="K25" s="170"/>
      <c r="L25" s="171"/>
      <c r="M25" s="75" t="s">
        <v>51</v>
      </c>
      <c r="N25" s="23"/>
    </row>
    <row r="26" spans="2:14" ht="16.5" customHeight="1">
      <c r="B26" s="172" t="s">
        <v>52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53"/>
      <c r="N26" s="55"/>
    </row>
    <row r="27" spans="2:23" ht="16.5" customHeight="1" thickBot="1">
      <c r="B27" s="9"/>
      <c r="C27" s="143" t="s">
        <v>53</v>
      </c>
      <c r="D27" s="175" t="s">
        <v>54</v>
      </c>
      <c r="E27" s="178" t="s">
        <v>55</v>
      </c>
      <c r="F27" s="179"/>
      <c r="G27" s="182" t="s">
        <v>56</v>
      </c>
      <c r="H27" s="184" t="s">
        <v>269</v>
      </c>
      <c r="I27" s="185"/>
      <c r="J27" s="186"/>
      <c r="K27" s="187">
        <f>IF(H27="微高地",7*10^-3,IF(H27="台地・段丘",7*10^-3,IF(H27="低地","","")))</f>
        <v>0.007</v>
      </c>
      <c r="L27" s="188"/>
      <c r="M27" s="71" t="s">
        <v>57</v>
      </c>
      <c r="N27" s="146"/>
      <c r="Q27" s="273" t="s">
        <v>246</v>
      </c>
      <c r="R27" s="274"/>
      <c r="S27" s="274"/>
      <c r="T27" s="274"/>
      <c r="U27" s="274"/>
      <c r="V27" s="274"/>
      <c r="W27" s="275"/>
    </row>
    <row r="28" spans="2:23" ht="16.5" customHeight="1" thickTop="1">
      <c r="B28" s="24"/>
      <c r="C28" s="174"/>
      <c r="D28" s="176"/>
      <c r="E28" s="180"/>
      <c r="F28" s="181"/>
      <c r="G28" s="183"/>
      <c r="H28" s="191"/>
      <c r="I28" s="192"/>
      <c r="J28" s="193"/>
      <c r="K28" s="194" t="s">
        <v>58</v>
      </c>
      <c r="L28" s="195"/>
      <c r="M28" s="41" t="s">
        <v>59</v>
      </c>
      <c r="N28" s="189"/>
      <c r="Q28" s="93" t="s">
        <v>219</v>
      </c>
      <c r="R28" s="180" t="s">
        <v>220</v>
      </c>
      <c r="S28" s="276"/>
      <c r="T28" s="181"/>
      <c r="U28" s="180" t="s">
        <v>221</v>
      </c>
      <c r="V28" s="276"/>
      <c r="W28" s="181"/>
    </row>
    <row r="29" spans="2:23" ht="16.5" customHeight="1">
      <c r="B29" s="11"/>
      <c r="C29" s="144"/>
      <c r="D29" s="177"/>
      <c r="E29" s="116" t="s">
        <v>60</v>
      </c>
      <c r="F29" s="116"/>
      <c r="G29" s="6" t="s">
        <v>61</v>
      </c>
      <c r="H29" s="196">
        <f>IF(K27="","",ROUND(IF(H28&gt;0,H28*3600/100,IF(K27&gt;0,K27*3600/100,"")),2))</f>
        <v>0.25</v>
      </c>
      <c r="I29" s="196"/>
      <c r="J29" s="196"/>
      <c r="K29" s="196"/>
      <c r="L29" s="196"/>
      <c r="M29" s="41" t="s">
        <v>62</v>
      </c>
      <c r="N29" s="190"/>
      <c r="Q29" s="10" t="s">
        <v>222</v>
      </c>
      <c r="R29" s="6" t="s">
        <v>247</v>
      </c>
      <c r="S29" s="6" t="s">
        <v>248</v>
      </c>
      <c r="T29" s="6" t="s">
        <v>249</v>
      </c>
      <c r="U29" s="6" t="s">
        <v>247</v>
      </c>
      <c r="V29" s="6" t="s">
        <v>248</v>
      </c>
      <c r="W29" s="6" t="s">
        <v>249</v>
      </c>
    </row>
    <row r="30" spans="2:23" ht="16.5" customHeight="1">
      <c r="B30" s="8"/>
      <c r="C30" s="5" t="s">
        <v>63</v>
      </c>
      <c r="D30" s="25"/>
      <c r="E30" s="161" t="s">
        <v>64</v>
      </c>
      <c r="F30" s="162"/>
      <c r="G30" s="6"/>
      <c r="H30" s="197">
        <v>0.81</v>
      </c>
      <c r="I30" s="197"/>
      <c r="J30" s="197"/>
      <c r="K30" s="197"/>
      <c r="L30" s="197"/>
      <c r="M30" s="76" t="s">
        <v>65</v>
      </c>
      <c r="N30" s="15"/>
      <c r="Q30" s="10" t="s">
        <v>226</v>
      </c>
      <c r="R30" s="6" t="s">
        <v>227</v>
      </c>
      <c r="S30" s="14" t="s">
        <v>228</v>
      </c>
      <c r="T30" s="14" t="s">
        <v>228</v>
      </c>
      <c r="U30" s="14" t="s">
        <v>228</v>
      </c>
      <c r="V30" s="14" t="s">
        <v>228</v>
      </c>
      <c r="W30" s="6" t="s">
        <v>228</v>
      </c>
    </row>
    <row r="31" spans="2:23" ht="16.5" customHeight="1">
      <c r="B31" s="26"/>
      <c r="C31" s="17"/>
      <c r="D31" s="27"/>
      <c r="E31" s="27"/>
      <c r="F31" s="27"/>
      <c r="G31" s="28"/>
      <c r="H31" s="198" t="s">
        <v>66</v>
      </c>
      <c r="I31" s="199"/>
      <c r="J31" s="57" t="s">
        <v>67</v>
      </c>
      <c r="K31" s="57" t="s">
        <v>68</v>
      </c>
      <c r="L31" s="58" t="s">
        <v>69</v>
      </c>
      <c r="M31" s="77" t="s">
        <v>70</v>
      </c>
      <c r="N31" s="200"/>
      <c r="Q31" s="10" t="s">
        <v>229</v>
      </c>
      <c r="R31" s="6" t="s">
        <v>250</v>
      </c>
      <c r="S31" s="106" t="s">
        <v>251</v>
      </c>
      <c r="T31" s="6" t="s">
        <v>252</v>
      </c>
      <c r="U31" s="6" t="s">
        <v>253</v>
      </c>
      <c r="V31" s="106" t="s">
        <v>254</v>
      </c>
      <c r="W31" s="6" t="s">
        <v>255</v>
      </c>
    </row>
    <row r="32" spans="2:23" ht="16.5" customHeight="1">
      <c r="B32" s="29"/>
      <c r="C32" s="143" t="s">
        <v>71</v>
      </c>
      <c r="D32" s="10" t="s">
        <v>72</v>
      </c>
      <c r="E32" s="116"/>
      <c r="F32" s="116"/>
      <c r="G32" s="6"/>
      <c r="H32" s="203">
        <v>2</v>
      </c>
      <c r="I32" s="204"/>
      <c r="J32" s="44"/>
      <c r="K32" s="44"/>
      <c r="L32" s="45"/>
      <c r="M32" s="78" t="s">
        <v>73</v>
      </c>
      <c r="N32" s="201"/>
      <c r="Q32" s="10" t="s">
        <v>234</v>
      </c>
      <c r="R32" s="6" t="s">
        <v>256</v>
      </c>
      <c r="S32" s="6" t="s">
        <v>257</v>
      </c>
      <c r="T32" s="6" t="s">
        <v>258</v>
      </c>
      <c r="U32" s="6" t="s">
        <v>259</v>
      </c>
      <c r="V32" s="6" t="s">
        <v>260</v>
      </c>
      <c r="W32" s="6" t="s">
        <v>261</v>
      </c>
    </row>
    <row r="33" spans="2:23" ht="16.5" customHeight="1" thickBot="1">
      <c r="B33" s="30"/>
      <c r="C33" s="174"/>
      <c r="D33" s="10" t="s">
        <v>74</v>
      </c>
      <c r="E33" s="116"/>
      <c r="F33" s="116"/>
      <c r="G33" s="6"/>
      <c r="H33" s="184">
        <v>1</v>
      </c>
      <c r="I33" s="204"/>
      <c r="J33" s="44"/>
      <c r="K33" s="44"/>
      <c r="L33" s="45"/>
      <c r="M33" s="78" t="s">
        <v>75</v>
      </c>
      <c r="N33" s="201"/>
      <c r="Q33" s="107" t="s">
        <v>239</v>
      </c>
      <c r="R33" s="89" t="s">
        <v>262</v>
      </c>
      <c r="S33" s="89" t="s">
        <v>241</v>
      </c>
      <c r="T33" s="89" t="s">
        <v>241</v>
      </c>
      <c r="U33" s="89" t="s">
        <v>241</v>
      </c>
      <c r="V33" s="89" t="s">
        <v>241</v>
      </c>
      <c r="W33" s="89" t="s">
        <v>241</v>
      </c>
    </row>
    <row r="34" spans="2:23" ht="16.5" customHeight="1">
      <c r="B34" s="24"/>
      <c r="C34" s="174"/>
      <c r="D34" s="10" t="s">
        <v>76</v>
      </c>
      <c r="E34" s="116" t="s">
        <v>77</v>
      </c>
      <c r="F34" s="116"/>
      <c r="G34" s="6" t="s">
        <v>78</v>
      </c>
      <c r="H34" s="205">
        <v>0.6</v>
      </c>
      <c r="I34" s="206"/>
      <c r="J34" s="46"/>
      <c r="K34" s="46"/>
      <c r="L34" s="47"/>
      <c r="M34" s="41" t="s">
        <v>270</v>
      </c>
      <c r="N34" s="201"/>
      <c r="Q34" s="94" t="s">
        <v>242</v>
      </c>
      <c r="R34" s="95">
        <f>IF(H34&lt;=0,"-",IF(H34&gt;1,"-",IF(H33&gt;1,"-",IF(H32=2,(0.12*H34+0.985)*H37^2+(7.837*H34+0.82)*H37+2.858*H34-0.283,"-"))))</f>
        <v>6.52604</v>
      </c>
      <c r="S34" s="95" t="str">
        <f>IF(H34&lt;=1,"-",IF(H34&gt;10,"-",IF(H33&gt;1,"-",IF(H32=2,(-0.453*H34^2+8.289*H34+0.753)*H37+1.458*H34^2+1.27*H34+0.362,"-"))))</f>
        <v>-</v>
      </c>
      <c r="T34" s="95" t="str">
        <f>IF(H34&lt;=10,"-",IF(H34&gt;=80,"-",IF(H33&gt;1,"-",IF(H32=2,(0.747*H34+21.355)*H37+1.263*H34^2+4.295*H34-7.649,"-"))))</f>
        <v>-</v>
      </c>
      <c r="U34" s="95" t="str">
        <f>IF(H34&lt;=0,"-",IF(H34&gt;1,"-",IF(H33&lt;=1,"-",IF(H32=2,(1.676*H34-0.137)*H37+1.496*H34^2+0.671*H34-0.015,"-"))))</f>
        <v>-</v>
      </c>
      <c r="V34" s="108" t="str">
        <f>IF(H34&lt;=1,"-",IF(H34&gt;10,"-",IF(H33&lt;=1,"-",IF(H32=2,(-0.204*H34^2+3.166*H34-1.936)*H37+1.345*H34^2+0.736*H34+0.251,"-"))))</f>
        <v>-</v>
      </c>
      <c r="W34" s="96" t="str">
        <f>IF(H34&lt;=10,"-",IF(H34&gt;=80,"-",IF(H33&lt;=1,"-",IF(H32=2,(1.265*H34-15.67)*H37+1.259*H34^2+2.336*H34-8.13,"-"))))</f>
        <v>-</v>
      </c>
    </row>
    <row r="35" spans="2:23" ht="16.5" customHeight="1">
      <c r="B35" s="24"/>
      <c r="C35" s="174"/>
      <c r="D35" s="10" t="s">
        <v>79</v>
      </c>
      <c r="E35" s="161" t="s">
        <v>80</v>
      </c>
      <c r="F35" s="162"/>
      <c r="G35" s="6" t="s">
        <v>78</v>
      </c>
      <c r="H35" s="207"/>
      <c r="I35" s="208"/>
      <c r="J35" s="46"/>
      <c r="K35" s="46"/>
      <c r="L35" s="47"/>
      <c r="M35" s="79" t="s">
        <v>81</v>
      </c>
      <c r="N35" s="201"/>
      <c r="Q35" s="97" t="s">
        <v>243</v>
      </c>
      <c r="R35" s="98" t="str">
        <f>IF(J34&lt;=0,"-",IF(J34&gt;1,"-",IF(J33&gt;1,"-",IF(J32=2,(0.12*J34+0.985)*J37^2+(7.837*J34+0.82)*J37+2.858*J34-0.283,"-"))))</f>
        <v>-</v>
      </c>
      <c r="S35" s="98" t="str">
        <f>IF(J34&lt;=1,"-",IF(J34&gt;10,"-",IF(J33&gt;1,"-",IF(J32=2,(-0.453*J34^2+8.289*J34+0.753)*J37+1.458*J34^2+1.27*J34+0.362,"-"))))</f>
        <v>-</v>
      </c>
      <c r="T35" s="98" t="str">
        <f>IF(J34&lt;=10,"-",IF(J34&gt;=80,"-",IF(J33&gt;1,"-",IF(J32=2,(0.747*J34+21.355)*J37+1.263*J34^2+4.295*J34-7.649,"-"))))</f>
        <v>-</v>
      </c>
      <c r="U35" s="98" t="str">
        <f>IF(J34&lt;=0,"-",IF(J34&gt;1,"-",IF(J33&lt;=1,"-",IF(J32=2,(1.676*J34-0.137)*J37+1.496*J34^2+0.671*J34-0.015,"-"))))</f>
        <v>-</v>
      </c>
      <c r="V35" s="109" t="str">
        <f>IF(J34&lt;=1,"-",IF(J34&gt;10,"-",IF(J33&lt;=1,"-",IF(J32=2,(-0.204*J34^2+3.166*J34-1.936)*J37+1.345*J34^2+0.736*J34+0.251,"-"))))</f>
        <v>-</v>
      </c>
      <c r="W35" s="99" t="str">
        <f>IF(J34&lt;=10,"-",IF(J34&gt;=80,"-",IF(J33&lt;=1,"-",IF(J32=2,(1.265*J34-15.67)*J37+1.259*J34^2+2.336*J34-8.13,"-"))))</f>
        <v>-</v>
      </c>
    </row>
    <row r="36" spans="2:23" ht="16.5" customHeight="1">
      <c r="B36" s="24"/>
      <c r="C36" s="174"/>
      <c r="D36" s="10" t="s">
        <v>271</v>
      </c>
      <c r="E36" s="116" t="s">
        <v>272</v>
      </c>
      <c r="F36" s="116"/>
      <c r="G36" s="6" t="s">
        <v>78</v>
      </c>
      <c r="H36" s="205">
        <v>0.4</v>
      </c>
      <c r="I36" s="206"/>
      <c r="J36" s="46"/>
      <c r="K36" s="46"/>
      <c r="L36" s="47"/>
      <c r="M36" s="41" t="s">
        <v>273</v>
      </c>
      <c r="N36" s="201"/>
      <c r="Q36" s="97" t="s">
        <v>244</v>
      </c>
      <c r="R36" s="98" t="str">
        <f>IF(K34&lt;=0,"-",IF(K34&gt;1,"-",IF(K33&gt;1,"-",IF(K32=2,(0.12*K34+0.985)*K37^2+(7.837*K34+0.82)*K37+2.858*K34-0.283,"-"))))</f>
        <v>-</v>
      </c>
      <c r="S36" s="98" t="str">
        <f>IF(K34&lt;=1,"-",IF(K34&gt;10,"-",IF(K33&gt;1,"-",IF(K32=2,(-0.453*K34^2+8.289*K34+0.753)*K37+1.458*K34^2+1.27*K34+0.362,"-"))))</f>
        <v>-</v>
      </c>
      <c r="T36" s="98" t="str">
        <f>IF(K34&lt;=10,"-",IF(K34&gt;=80,"-",IF(K33&gt;1,"-",IF(K32=2,(0.747*K34+21.355)*K37+1.263*K34^2+4.295*K34-7.649,"-"))))</f>
        <v>-</v>
      </c>
      <c r="U36" s="98" t="str">
        <f>IF(K34&lt;=0,"-",IF(K34&gt;1,"-",IF(K33&lt;=1,"-",IF(K32=2,(1.676*K34-0.137)*K37+1.496*K34^2+0.671*K34-0.015,"-"))))</f>
        <v>-</v>
      </c>
      <c r="V36" s="109" t="str">
        <f>IF(K34&lt;=1,"-",IF(K34&gt;10,"-",IF(K33&lt;=1,"-",IF(K32=2,(-0.204*K34^2+3.166*K34-1.936)*K37+1.345*K34^2+0.736*K34+0.251,"-"))))</f>
        <v>-</v>
      </c>
      <c r="W36" s="99" t="str">
        <f>IF(K34&lt;=10,"-",IF(K34&gt;=80,"-",IF(K33&lt;=1,"-",IF(K32=2,(1.265*K34-15.67)*K37+1.259*K34^2+2.336*K34-8.13,"-"))))</f>
        <v>-</v>
      </c>
    </row>
    <row r="37" spans="2:23" ht="16.5" customHeight="1" thickBot="1">
      <c r="B37" s="24"/>
      <c r="C37" s="174"/>
      <c r="D37" s="10" t="s">
        <v>82</v>
      </c>
      <c r="E37" s="116" t="s">
        <v>83</v>
      </c>
      <c r="F37" s="116"/>
      <c r="G37" s="6" t="s">
        <v>78</v>
      </c>
      <c r="H37" s="205">
        <v>0.8</v>
      </c>
      <c r="I37" s="206"/>
      <c r="J37" s="46"/>
      <c r="K37" s="46"/>
      <c r="L37" s="47"/>
      <c r="M37" s="41" t="s">
        <v>84</v>
      </c>
      <c r="N37" s="201"/>
      <c r="Q37" s="100" t="s">
        <v>245</v>
      </c>
      <c r="R37" s="101" t="str">
        <f>IF(L34&lt;=0,"-",IF(L34&gt;1,"-",IF(L33&gt;1,"-",IF(L32=2,(0.12*L34+0.985)*L37^2+(7.837*L34+0.82)*L37+2.858*L34-0.283,"-"))))</f>
        <v>-</v>
      </c>
      <c r="S37" s="101" t="str">
        <f>IF(L34&lt;=1,"-",IF(L34&gt;10,"-",IF(L33&gt;1,"-",IF(L32=2,(-0.453*L34^2+8.289*L34+0.753)*L37+1.458*L34^2+1.27*L34+0.362,"-"))))</f>
        <v>-</v>
      </c>
      <c r="T37" s="101" t="str">
        <f>IF(L34&lt;=10,"-",IF(L34&gt;=80,"-",IF(L33&gt;1,"-",IF(L32=2,(0.747*L34+21.355)*L37+1.263*L34^2+4.295*L34-7.649,"-"))))</f>
        <v>-</v>
      </c>
      <c r="U37" s="101" t="str">
        <f>IF(L34&lt;=0,"-",IF(L34&gt;1,"-",IF(L33&lt;=1,"-",IF(L32=2,(1.676*L34-0.137)*L37+1.496*L34^2+0.671*L34-0.015,"-"))))</f>
        <v>-</v>
      </c>
      <c r="V37" s="110" t="str">
        <f>IF(L34&lt;=1,"-",IF(L34&gt;10,"-",IF(L33&lt;=1,"-",IF(L32=2,(-0.204*L34^2+3.166*L34-1.936)*L37+1.345*L34^2+0.736*L34+0.251,"-"))))</f>
        <v>-</v>
      </c>
      <c r="W37" s="102" t="str">
        <f>IF(L34&lt;=10,"-",IF(L34&gt;=80,"-",IF(L33&lt;=1,"-",IF(L32=2,(1.265*L34-15.67)*L37+1.259*L34^2+2.336*L34-8.13,"-"))))</f>
        <v>-</v>
      </c>
    </row>
    <row r="38" spans="2:14" ht="16.5" customHeight="1">
      <c r="B38" s="24"/>
      <c r="C38" s="174"/>
      <c r="D38" s="31" t="s">
        <v>85</v>
      </c>
      <c r="E38" s="116" t="s">
        <v>86</v>
      </c>
      <c r="F38" s="116"/>
      <c r="G38" s="6" t="s">
        <v>87</v>
      </c>
      <c r="H38" s="209">
        <f>IF(H32="","",ROUND(IF(H32=1,SUM(R18:U18),IF(H32&lt;=2,SUM(R34:W34),IF(H32+H33=4,R47,T47*H34*H35))),2))</f>
        <v>6.53</v>
      </c>
      <c r="I38" s="210"/>
      <c r="J38" s="42">
        <f>IF(J32="","",ROUND(IF(J32=1,SUM(R19:U19),IF(J32&lt;=2,SUM(R35:W35),IF(J32+J33=4,R48,T48*J34*J35))),2))</f>
      </c>
      <c r="K38" s="42">
        <f>IF(K32="","",ROUND(IF(K32=1,SUM(R21:U21),IF(K32&lt;=2,SUM(R36:W36),IF(K32+K33=4,R49,T49*K34*K35))),2))</f>
      </c>
      <c r="L38" s="43">
        <f>IF(L32="","",ROUND(IF(L32=1,SUM(R22:U22),IF(L32&lt;=2,SUM(R37:W37),IF(L32+L33=4,R50,T50*L34*L35))),2))</f>
      </c>
      <c r="M38" s="41" t="s">
        <v>88</v>
      </c>
      <c r="N38" s="201"/>
    </row>
    <row r="39" spans="2:14" ht="16.5" customHeight="1">
      <c r="B39" s="24"/>
      <c r="C39" s="174"/>
      <c r="D39" s="10" t="s">
        <v>89</v>
      </c>
      <c r="E39" s="116" t="s">
        <v>90</v>
      </c>
      <c r="F39" s="116"/>
      <c r="G39" s="6" t="s">
        <v>91</v>
      </c>
      <c r="H39" s="211">
        <v>9</v>
      </c>
      <c r="I39" s="212"/>
      <c r="J39" s="48"/>
      <c r="K39" s="48"/>
      <c r="L39" s="49"/>
      <c r="M39" s="41" t="s">
        <v>92</v>
      </c>
      <c r="N39" s="201"/>
    </row>
    <row r="40" spans="2:21" ht="16.5" customHeight="1" thickBot="1">
      <c r="B40" s="24"/>
      <c r="C40" s="174"/>
      <c r="D40" s="10" t="s">
        <v>93</v>
      </c>
      <c r="E40" s="116" t="s">
        <v>94</v>
      </c>
      <c r="F40" s="116"/>
      <c r="G40" s="6" t="s">
        <v>95</v>
      </c>
      <c r="H40" s="209">
        <f>IF(H38="",0,H29*H30*H38*H39)</f>
        <v>11.900925</v>
      </c>
      <c r="I40" s="210"/>
      <c r="J40" s="42">
        <f>IF(J38="",0,H29*H30*J38*J39)</f>
        <v>0</v>
      </c>
      <c r="K40" s="42">
        <f>IF(K38="",0,H29*H30*K38*K39)</f>
        <v>0</v>
      </c>
      <c r="L40" s="43">
        <f>IF(L38="",0,H29*H30*L38*L39)</f>
        <v>0</v>
      </c>
      <c r="M40" s="41" t="s">
        <v>96</v>
      </c>
      <c r="N40" s="201"/>
      <c r="Q40" s="277" t="s">
        <v>263</v>
      </c>
      <c r="R40" s="277"/>
      <c r="S40" s="277"/>
      <c r="T40" s="277"/>
      <c r="U40" s="277"/>
    </row>
    <row r="41" spans="2:21" ht="16.5" customHeight="1" thickTop="1">
      <c r="B41" s="24"/>
      <c r="C41" s="174"/>
      <c r="D41" s="10" t="s">
        <v>97</v>
      </c>
      <c r="E41" s="116" t="s">
        <v>98</v>
      </c>
      <c r="F41" s="116"/>
      <c r="G41" s="6" t="s">
        <v>99</v>
      </c>
      <c r="H41" s="213">
        <f>IF(H39="",0,(H40+J40+K40+L40)/3600)</f>
        <v>0.0033058125</v>
      </c>
      <c r="I41" s="214"/>
      <c r="J41" s="214"/>
      <c r="K41" s="214"/>
      <c r="L41" s="215"/>
      <c r="M41" s="41" t="s">
        <v>100</v>
      </c>
      <c r="N41" s="202"/>
      <c r="Q41" s="93" t="s">
        <v>219</v>
      </c>
      <c r="R41" s="183" t="s">
        <v>220</v>
      </c>
      <c r="S41" s="183"/>
      <c r="T41" s="183" t="s">
        <v>264</v>
      </c>
      <c r="U41" s="183"/>
    </row>
    <row r="42" spans="2:21" ht="16.5" customHeight="1">
      <c r="B42" s="24"/>
      <c r="C42" s="174"/>
      <c r="D42" s="10" t="s">
        <v>101</v>
      </c>
      <c r="E42" s="116" t="s">
        <v>102</v>
      </c>
      <c r="F42" s="116"/>
      <c r="G42" s="6" t="s">
        <v>103</v>
      </c>
      <c r="H42" s="205">
        <f>PI()*(H36/2)^2*H34*H39</f>
        <v>0.6785840131753953</v>
      </c>
      <c r="I42" s="206"/>
      <c r="J42" s="46">
        <f>H34^2*H37*H39-H42</f>
        <v>1.9134159868246043</v>
      </c>
      <c r="K42" s="46"/>
      <c r="L42" s="47"/>
      <c r="M42" s="81" t="s">
        <v>104</v>
      </c>
      <c r="N42" s="153"/>
      <c r="Q42" s="10" t="s">
        <v>222</v>
      </c>
      <c r="R42" s="116" t="s">
        <v>265</v>
      </c>
      <c r="S42" s="116"/>
      <c r="T42" s="116" t="s">
        <v>266</v>
      </c>
      <c r="U42" s="116"/>
    </row>
    <row r="43" spans="2:21" ht="16.5" customHeight="1">
      <c r="B43" s="24"/>
      <c r="C43" s="174"/>
      <c r="D43" s="10" t="s">
        <v>105</v>
      </c>
      <c r="E43" s="161" t="s">
        <v>106</v>
      </c>
      <c r="F43" s="162"/>
      <c r="G43" s="6" t="s">
        <v>107</v>
      </c>
      <c r="H43" s="211">
        <v>100</v>
      </c>
      <c r="I43" s="212"/>
      <c r="J43" s="48">
        <v>40</v>
      </c>
      <c r="K43" s="48"/>
      <c r="L43" s="49"/>
      <c r="M43" s="41" t="s">
        <v>108</v>
      </c>
      <c r="N43" s="216"/>
      <c r="Q43" s="10" t="s">
        <v>226</v>
      </c>
      <c r="R43" s="161" t="s">
        <v>228</v>
      </c>
      <c r="S43" s="162"/>
      <c r="T43" s="161" t="s">
        <v>228</v>
      </c>
      <c r="U43" s="162"/>
    </row>
    <row r="44" spans="2:21" ht="16.5" customHeight="1">
      <c r="B44" s="11"/>
      <c r="C44" s="144"/>
      <c r="D44" s="10" t="s">
        <v>109</v>
      </c>
      <c r="E44" s="116" t="s">
        <v>110</v>
      </c>
      <c r="F44" s="116"/>
      <c r="G44" s="6" t="s">
        <v>103</v>
      </c>
      <c r="H44" s="217">
        <f>IF(H43="",0,(H42*H43+J42*J43+K42*K43+L42*L43)/100)</f>
        <v>1.443950407905237</v>
      </c>
      <c r="I44" s="218"/>
      <c r="J44" s="218"/>
      <c r="K44" s="218"/>
      <c r="L44" s="219"/>
      <c r="M44" s="41" t="s">
        <v>111</v>
      </c>
      <c r="N44" s="154"/>
      <c r="Q44" s="10" t="s">
        <v>229</v>
      </c>
      <c r="R44" s="116" t="s">
        <v>267</v>
      </c>
      <c r="S44" s="116"/>
      <c r="T44" s="116">
        <v>0.014</v>
      </c>
      <c r="U44" s="116"/>
    </row>
    <row r="45" spans="2:21" ht="16.5" customHeight="1">
      <c r="B45" s="9"/>
      <c r="C45" s="220" t="s">
        <v>112</v>
      </c>
      <c r="D45" s="10" t="s">
        <v>113</v>
      </c>
      <c r="E45" s="116" t="s">
        <v>114</v>
      </c>
      <c r="F45" s="116"/>
      <c r="G45" s="6" t="s">
        <v>115</v>
      </c>
      <c r="H45" s="205">
        <v>0.6</v>
      </c>
      <c r="I45" s="206"/>
      <c r="J45" s="46"/>
      <c r="K45" s="46"/>
      <c r="L45" s="47"/>
      <c r="M45" s="41" t="s">
        <v>116</v>
      </c>
      <c r="N45" s="200"/>
      <c r="Q45" s="10" t="s">
        <v>234</v>
      </c>
      <c r="R45" s="116" t="s">
        <v>268</v>
      </c>
      <c r="S45" s="116"/>
      <c r="T45" s="116">
        <v>1.287</v>
      </c>
      <c r="U45" s="116"/>
    </row>
    <row r="46" spans="2:21" ht="16.5" customHeight="1" thickBot="1">
      <c r="B46" s="24"/>
      <c r="C46" s="221"/>
      <c r="D46" s="10" t="s">
        <v>82</v>
      </c>
      <c r="E46" s="116" t="s">
        <v>117</v>
      </c>
      <c r="F46" s="116"/>
      <c r="G46" s="6" t="s">
        <v>115</v>
      </c>
      <c r="H46" s="205">
        <v>0.6</v>
      </c>
      <c r="I46" s="206"/>
      <c r="J46" s="46"/>
      <c r="K46" s="46"/>
      <c r="L46" s="47"/>
      <c r="M46" s="41" t="s">
        <v>118</v>
      </c>
      <c r="N46" s="216"/>
      <c r="Q46" s="107" t="s">
        <v>239</v>
      </c>
      <c r="R46" s="182" t="s">
        <v>241</v>
      </c>
      <c r="S46" s="182"/>
      <c r="T46" s="182" t="s">
        <v>241</v>
      </c>
      <c r="U46" s="182"/>
    </row>
    <row r="47" spans="2:21" ht="16.5" customHeight="1">
      <c r="B47" s="24"/>
      <c r="C47" s="221"/>
      <c r="D47" s="31" t="s">
        <v>85</v>
      </c>
      <c r="E47" s="116" t="s">
        <v>119</v>
      </c>
      <c r="F47" s="116"/>
      <c r="G47" s="6" t="s">
        <v>120</v>
      </c>
      <c r="H47" s="209">
        <f>IF(H45="",0,ROUND(3.093*H46+1.34*H45+0.677,2))</f>
        <v>3.34</v>
      </c>
      <c r="I47" s="210"/>
      <c r="J47" s="42">
        <f>IF(J45="",0,ROUND(3.093*J46+1.34*J45+0.677,2))</f>
        <v>0</v>
      </c>
      <c r="K47" s="42">
        <f>IF(K45="",0,ROUND(3.093*K46+1.34*K45+0.677,2))</f>
        <v>0</v>
      </c>
      <c r="L47" s="43">
        <f>IF(L45="",0,ROUND(3.093*L46+1.34*L45+0.677,2))</f>
        <v>0</v>
      </c>
      <c r="M47" s="41" t="s">
        <v>121</v>
      </c>
      <c r="N47" s="216"/>
      <c r="Q47" s="94" t="s">
        <v>242</v>
      </c>
      <c r="R47" s="280" t="str">
        <f>IF(H34&gt;4,"-",IF(H35&gt;200,"-",IF(H33&gt;1,"-",IF(H32=3,(3.297*H35+1.971*H34+4.663)*H37+(1.401*H34+0.684)*H35+1.214*H34-0.834,"-"))))</f>
        <v>-</v>
      </c>
      <c r="S47" s="280"/>
      <c r="T47" s="280" t="str">
        <f>IF(H34&gt;4,"-",IF(H35&gt;200,"-",IF(H33&lt;=1,"-",IF(H32=3,0.014*H37+1.287,"-"))))</f>
        <v>-</v>
      </c>
      <c r="U47" s="281"/>
    </row>
    <row r="48" spans="2:21" ht="16.5" customHeight="1">
      <c r="B48" s="24"/>
      <c r="C48" s="221"/>
      <c r="D48" s="10" t="s">
        <v>122</v>
      </c>
      <c r="E48" s="116" t="s">
        <v>123</v>
      </c>
      <c r="F48" s="116"/>
      <c r="G48" s="6" t="s">
        <v>115</v>
      </c>
      <c r="H48" s="205">
        <v>280</v>
      </c>
      <c r="I48" s="206"/>
      <c r="J48" s="46"/>
      <c r="K48" s="46"/>
      <c r="L48" s="47"/>
      <c r="M48" s="81" t="s">
        <v>124</v>
      </c>
      <c r="N48" s="216"/>
      <c r="Q48" s="97" t="s">
        <v>243</v>
      </c>
      <c r="R48" s="282" t="str">
        <f>IF(J34&gt;4,"-",IF(J35&gt;200,"-",IF(J33&gt;1,"-",IF(J32=3,(3.297*J35+1.971*J34+4.663)*J37+(1.401*J34+0.684)*J35+1.214*J34-0.834,"-"))))</f>
        <v>-</v>
      </c>
      <c r="S48" s="282"/>
      <c r="T48" s="282" t="str">
        <f>IF(J34&gt;4,"-",IF(J35&gt;200,"-",IF(J33&lt;=1,"-",IF(J32=3,0.014*J37+1.287,"-"))))</f>
        <v>-</v>
      </c>
      <c r="U48" s="283"/>
    </row>
    <row r="49" spans="2:21" ht="16.5" customHeight="1">
      <c r="B49" s="24"/>
      <c r="C49" s="221"/>
      <c r="D49" s="10" t="s">
        <v>93</v>
      </c>
      <c r="E49" s="116" t="s">
        <v>125</v>
      </c>
      <c r="F49" s="116"/>
      <c r="G49" s="6" t="s">
        <v>95</v>
      </c>
      <c r="H49" s="209">
        <f>IF(H48="",0,H29*H30*H47*H48)</f>
        <v>189.37800000000001</v>
      </c>
      <c r="I49" s="210"/>
      <c r="J49" s="42">
        <f>IF(J48="",0,H29*H30*J47*J48)</f>
        <v>0</v>
      </c>
      <c r="K49" s="42">
        <f>IF(K48="",0,H29*H30*K47*K48)</f>
        <v>0</v>
      </c>
      <c r="L49" s="43">
        <f>IF(L48="",0,H29*H30*L47*L48)</f>
        <v>0</v>
      </c>
      <c r="M49" s="41" t="s">
        <v>126</v>
      </c>
      <c r="N49" s="216"/>
      <c r="Q49" s="97" t="s">
        <v>244</v>
      </c>
      <c r="R49" s="282" t="str">
        <f>IF(K34&gt;4,"-",IF(K35&gt;200,"-",IF(K33&gt;1,"-",IF(K32=3,(3.297*K35+1.971*K34+4.663)*K37+(1.401*K34+0.684)*K35+1.214*K34-0.834,"-"))))</f>
        <v>-</v>
      </c>
      <c r="S49" s="282"/>
      <c r="T49" s="282" t="str">
        <f>IF(K34&gt;4,"-",IF(K35&gt;200,"-",IF(K33&lt;=1,"-",IF(K32=3,0.014*K37+1.287,"-"))))</f>
        <v>-</v>
      </c>
      <c r="U49" s="283"/>
    </row>
    <row r="50" spans="2:21" ht="16.5" customHeight="1" thickBot="1">
      <c r="B50" s="24"/>
      <c r="C50" s="221"/>
      <c r="D50" s="10" t="s">
        <v>97</v>
      </c>
      <c r="E50" s="116" t="s">
        <v>127</v>
      </c>
      <c r="F50" s="116"/>
      <c r="G50" s="6" t="s">
        <v>99</v>
      </c>
      <c r="H50" s="213">
        <f>IF(H49="","",(H49+J49+K49+L49)/3600)</f>
        <v>0.052605000000000006</v>
      </c>
      <c r="I50" s="214"/>
      <c r="J50" s="214"/>
      <c r="K50" s="214"/>
      <c r="L50" s="215"/>
      <c r="M50" s="41" t="s">
        <v>128</v>
      </c>
      <c r="N50" s="154"/>
      <c r="Q50" s="100" t="s">
        <v>245</v>
      </c>
      <c r="R50" s="278" t="str">
        <f>IF(L34&gt;4,"-",IF(L35&gt;200,"-",IF(L33&gt;1,"-",IF(L32=3,(3.297*L35+1.971*L34+4.663)*L37+(1.401*L34+0.684)*L35+1.214*L34-0.834,"-"))))</f>
        <v>-</v>
      </c>
      <c r="S50" s="278"/>
      <c r="T50" s="278" t="str">
        <f>IF(L34&gt;4,"-",IF(L35&gt;200,"-",IF(L33&lt;=1,"-",IF(L32=3,0.014*L37+1.287,"-"))))</f>
        <v>-</v>
      </c>
      <c r="U50" s="279"/>
    </row>
    <row r="51" spans="2:14" ht="16.5" customHeight="1">
      <c r="B51" s="24"/>
      <c r="C51" s="221"/>
      <c r="D51" s="10" t="s">
        <v>101</v>
      </c>
      <c r="E51" s="116" t="s">
        <v>129</v>
      </c>
      <c r="F51" s="116"/>
      <c r="G51" s="6" t="s">
        <v>103</v>
      </c>
      <c r="H51" s="205">
        <f>PI()*0.1^2*H48</f>
        <v>8.79645943005142</v>
      </c>
      <c r="I51" s="206"/>
      <c r="J51" s="46">
        <f>0.6^2*H48-H51</f>
        <v>92.00354056994857</v>
      </c>
      <c r="K51" s="46"/>
      <c r="L51" s="47"/>
      <c r="M51" s="81" t="s">
        <v>130</v>
      </c>
      <c r="N51" s="153"/>
    </row>
    <row r="52" spans="2:14" ht="16.5" customHeight="1">
      <c r="B52" s="24"/>
      <c r="C52" s="221"/>
      <c r="D52" s="10" t="s">
        <v>105</v>
      </c>
      <c r="E52" s="161" t="s">
        <v>131</v>
      </c>
      <c r="F52" s="162"/>
      <c r="G52" s="6" t="s">
        <v>107</v>
      </c>
      <c r="H52" s="211">
        <v>100</v>
      </c>
      <c r="I52" s="212"/>
      <c r="J52" s="48">
        <v>40</v>
      </c>
      <c r="K52" s="48"/>
      <c r="L52" s="49"/>
      <c r="M52" s="41" t="s">
        <v>108</v>
      </c>
      <c r="N52" s="216"/>
    </row>
    <row r="53" spans="2:21" ht="16.5" customHeight="1">
      <c r="B53" s="11"/>
      <c r="C53" s="222"/>
      <c r="D53" s="10" t="s">
        <v>109</v>
      </c>
      <c r="E53" s="116" t="s">
        <v>132</v>
      </c>
      <c r="F53" s="116"/>
      <c r="G53" s="6" t="s">
        <v>103</v>
      </c>
      <c r="H53" s="217">
        <f>IF(H51="",0,(H51*H52+J51*J52+K51*K52+L51*L52)/100)</f>
        <v>45.597875658030844</v>
      </c>
      <c r="I53" s="218"/>
      <c r="J53" s="218"/>
      <c r="K53" s="218"/>
      <c r="L53" s="219"/>
      <c r="M53" s="41" t="s">
        <v>133</v>
      </c>
      <c r="N53" s="154"/>
      <c r="Q53" s="105"/>
      <c r="R53" s="105"/>
      <c r="S53" s="105"/>
      <c r="T53" s="105"/>
      <c r="U53" s="105"/>
    </row>
    <row r="54" spans="2:21" ht="16.5" customHeight="1">
      <c r="B54" s="9"/>
      <c r="C54" s="143" t="s">
        <v>134</v>
      </c>
      <c r="D54" s="10" t="s">
        <v>82</v>
      </c>
      <c r="E54" s="116" t="s">
        <v>117</v>
      </c>
      <c r="F54" s="116"/>
      <c r="G54" s="6" t="s">
        <v>115</v>
      </c>
      <c r="H54" s="205"/>
      <c r="I54" s="206"/>
      <c r="J54" s="46"/>
      <c r="K54" s="46"/>
      <c r="L54" s="47"/>
      <c r="M54" s="41" t="s">
        <v>135</v>
      </c>
      <c r="N54" s="200"/>
      <c r="Q54" s="103"/>
      <c r="R54" s="105"/>
      <c r="S54" s="105"/>
      <c r="T54" s="105"/>
      <c r="U54" s="105"/>
    </row>
    <row r="55" spans="2:21" ht="16.5" customHeight="1">
      <c r="B55" s="24"/>
      <c r="C55" s="174"/>
      <c r="D55" s="31" t="s">
        <v>85</v>
      </c>
      <c r="E55" s="116" t="s">
        <v>136</v>
      </c>
      <c r="F55" s="116"/>
      <c r="G55" s="6" t="s">
        <v>120</v>
      </c>
      <c r="H55" s="217">
        <f>IF(H54="",0,ROUND(0.014*H54+1.287,3))</f>
        <v>0</v>
      </c>
      <c r="I55" s="218"/>
      <c r="J55" s="50">
        <f>IF(J54="",0,ROUND(0.014*J54+1.287,3))</f>
        <v>0</v>
      </c>
      <c r="K55" s="50">
        <f>IF(K54="",0,ROUND(0.014*K54+1.287,3))</f>
        <v>0</v>
      </c>
      <c r="L55" s="51">
        <f>IF(L54="",0,ROUND(0.014*L54+1.287,3))</f>
        <v>0</v>
      </c>
      <c r="M55" s="41" t="s">
        <v>137</v>
      </c>
      <c r="N55" s="216"/>
      <c r="Q55" s="103"/>
      <c r="R55" s="105"/>
      <c r="S55" s="105"/>
      <c r="T55" s="105"/>
      <c r="U55" s="105"/>
    </row>
    <row r="56" spans="2:21" ht="16.5" customHeight="1">
      <c r="B56" s="24"/>
      <c r="C56" s="174"/>
      <c r="D56" s="10" t="s">
        <v>138</v>
      </c>
      <c r="E56" s="116" t="s">
        <v>139</v>
      </c>
      <c r="F56" s="116"/>
      <c r="G56" s="6" t="s">
        <v>120</v>
      </c>
      <c r="H56" s="205"/>
      <c r="I56" s="206"/>
      <c r="J56" s="46"/>
      <c r="K56" s="46"/>
      <c r="L56" s="47"/>
      <c r="M56" s="41" t="s">
        <v>140</v>
      </c>
      <c r="N56" s="216"/>
      <c r="Q56" s="103"/>
      <c r="R56" s="105"/>
      <c r="S56" s="105"/>
      <c r="T56" s="105"/>
      <c r="U56" s="105"/>
    </row>
    <row r="57" spans="2:21" ht="16.5" customHeight="1">
      <c r="B57" s="24"/>
      <c r="C57" s="174"/>
      <c r="D57" s="10" t="s">
        <v>93</v>
      </c>
      <c r="E57" s="116" t="s">
        <v>141</v>
      </c>
      <c r="F57" s="116"/>
      <c r="G57" s="6" t="s">
        <v>95</v>
      </c>
      <c r="H57" s="209">
        <f>IF(H56="",0,H29*H30*H55*H56)</f>
        <v>0</v>
      </c>
      <c r="I57" s="210"/>
      <c r="J57" s="42">
        <f>IF(J56="",0,H29*H30*J55*J56)</f>
        <v>0</v>
      </c>
      <c r="K57" s="42">
        <f>IF(K56="",0,H29*H30*K55*K56)</f>
        <v>0</v>
      </c>
      <c r="L57" s="43">
        <f>IF(L56="",0,H29*H30*L55*L56)</f>
        <v>0</v>
      </c>
      <c r="M57" s="41" t="s">
        <v>142</v>
      </c>
      <c r="N57" s="216"/>
      <c r="Q57" s="103"/>
      <c r="R57" s="105"/>
      <c r="S57" s="105"/>
      <c r="T57" s="105"/>
      <c r="U57" s="105"/>
    </row>
    <row r="58" spans="2:21" ht="16.5" customHeight="1">
      <c r="B58" s="24"/>
      <c r="C58" s="174"/>
      <c r="D58" s="10" t="s">
        <v>97</v>
      </c>
      <c r="E58" s="116" t="s">
        <v>143</v>
      </c>
      <c r="F58" s="116"/>
      <c r="G58" s="6" t="s">
        <v>99</v>
      </c>
      <c r="H58" s="213">
        <f>(H57+J57+K57+L57)/3600</f>
        <v>0</v>
      </c>
      <c r="I58" s="214"/>
      <c r="J58" s="214"/>
      <c r="K58" s="214"/>
      <c r="L58" s="215"/>
      <c r="M58" s="41" t="s">
        <v>144</v>
      </c>
      <c r="N58" s="154"/>
      <c r="Q58" s="103"/>
      <c r="R58" s="105"/>
      <c r="S58" s="105"/>
      <c r="T58" s="105"/>
      <c r="U58" s="105"/>
    </row>
    <row r="59" spans="2:21" ht="16.5" customHeight="1">
      <c r="B59" s="24"/>
      <c r="C59" s="174"/>
      <c r="D59" s="10" t="s">
        <v>101</v>
      </c>
      <c r="E59" s="116" t="s">
        <v>145</v>
      </c>
      <c r="F59" s="116"/>
      <c r="G59" s="6" t="s">
        <v>103</v>
      </c>
      <c r="H59" s="205"/>
      <c r="I59" s="206"/>
      <c r="J59" s="46"/>
      <c r="K59" s="46"/>
      <c r="L59" s="47"/>
      <c r="M59" s="41" t="s">
        <v>146</v>
      </c>
      <c r="N59" s="153"/>
      <c r="Q59" s="103"/>
      <c r="R59" s="105"/>
      <c r="S59" s="105"/>
      <c r="T59" s="105"/>
      <c r="U59" s="105"/>
    </row>
    <row r="60" spans="2:21" ht="16.5" customHeight="1">
      <c r="B60" s="24"/>
      <c r="C60" s="174"/>
      <c r="D60" s="10" t="s">
        <v>105</v>
      </c>
      <c r="E60" s="161" t="s">
        <v>147</v>
      </c>
      <c r="F60" s="162"/>
      <c r="G60" s="6" t="s">
        <v>107</v>
      </c>
      <c r="H60" s="211"/>
      <c r="I60" s="212"/>
      <c r="J60" s="48"/>
      <c r="K60" s="48"/>
      <c r="L60" s="49"/>
      <c r="M60" s="41" t="s">
        <v>108</v>
      </c>
      <c r="N60" s="216"/>
      <c r="Q60" s="103"/>
      <c r="R60" s="104"/>
      <c r="S60" s="104"/>
      <c r="T60" s="104"/>
      <c r="U60" s="104"/>
    </row>
    <row r="61" spans="2:21" ht="16.5" customHeight="1">
      <c r="B61" s="11"/>
      <c r="C61" s="144"/>
      <c r="D61" s="10" t="s">
        <v>109</v>
      </c>
      <c r="E61" s="116" t="s">
        <v>148</v>
      </c>
      <c r="F61" s="116"/>
      <c r="G61" s="6" t="s">
        <v>103</v>
      </c>
      <c r="H61" s="217">
        <f>IF(H59="",0,(H59*H60+J59*J60+K59*K60+L59*L60)/100)</f>
        <v>0</v>
      </c>
      <c r="I61" s="218"/>
      <c r="J61" s="218"/>
      <c r="K61" s="218"/>
      <c r="L61" s="219"/>
      <c r="M61" s="41" t="s">
        <v>149</v>
      </c>
      <c r="N61" s="154"/>
      <c r="Q61" s="103"/>
      <c r="R61" s="104"/>
      <c r="S61" s="104"/>
      <c r="T61" s="104"/>
      <c r="U61" s="104"/>
    </row>
    <row r="62" spans="2:21" ht="16.5" customHeight="1">
      <c r="B62" s="9"/>
      <c r="C62" s="143" t="s">
        <v>150</v>
      </c>
      <c r="D62" s="10" t="s">
        <v>93</v>
      </c>
      <c r="E62" s="116" t="s">
        <v>151</v>
      </c>
      <c r="F62" s="116"/>
      <c r="G62" s="6" t="s">
        <v>95</v>
      </c>
      <c r="H62" s="223"/>
      <c r="I62" s="224"/>
      <c r="J62" s="44"/>
      <c r="K62" s="44"/>
      <c r="L62" s="45"/>
      <c r="M62" s="41" t="s">
        <v>152</v>
      </c>
      <c r="N62" s="200"/>
      <c r="Q62" s="103"/>
      <c r="R62" s="104"/>
      <c r="S62" s="104"/>
      <c r="T62" s="104"/>
      <c r="U62" s="104"/>
    </row>
    <row r="63" spans="2:21" ht="16.5" customHeight="1">
      <c r="B63" s="24"/>
      <c r="C63" s="174"/>
      <c r="D63" s="10" t="s">
        <v>97</v>
      </c>
      <c r="E63" s="116" t="s">
        <v>153</v>
      </c>
      <c r="F63" s="116"/>
      <c r="G63" s="6" t="s">
        <v>99</v>
      </c>
      <c r="H63" s="213">
        <f>(H62+J62+K62+L62)/3600</f>
        <v>0</v>
      </c>
      <c r="I63" s="214"/>
      <c r="J63" s="214"/>
      <c r="K63" s="214"/>
      <c r="L63" s="215"/>
      <c r="M63" s="41" t="s">
        <v>154</v>
      </c>
      <c r="N63" s="154"/>
      <c r="Q63" s="103"/>
      <c r="R63" s="104"/>
      <c r="S63" s="104"/>
      <c r="T63" s="104"/>
      <c r="U63" s="104"/>
    </row>
    <row r="64" spans="2:14" ht="16.5" customHeight="1">
      <c r="B64" s="24"/>
      <c r="C64" s="174"/>
      <c r="D64" s="10" t="s">
        <v>155</v>
      </c>
      <c r="E64" s="116" t="s">
        <v>156</v>
      </c>
      <c r="F64" s="116"/>
      <c r="G64" s="6" t="s">
        <v>103</v>
      </c>
      <c r="H64" s="205"/>
      <c r="I64" s="206"/>
      <c r="J64" s="46"/>
      <c r="K64" s="46"/>
      <c r="L64" s="47"/>
      <c r="M64" s="41" t="s">
        <v>157</v>
      </c>
      <c r="N64" s="153"/>
    </row>
    <row r="65" spans="2:14" ht="16.5" customHeight="1" thickBot="1">
      <c r="B65" s="11"/>
      <c r="C65" s="144"/>
      <c r="D65" s="10" t="s">
        <v>109</v>
      </c>
      <c r="E65" s="116" t="s">
        <v>158</v>
      </c>
      <c r="F65" s="116"/>
      <c r="G65" s="6" t="s">
        <v>103</v>
      </c>
      <c r="H65" s="225">
        <f>IF(H64="",0,H64+J64+K64+L64)</f>
        <v>0</v>
      </c>
      <c r="I65" s="226"/>
      <c r="J65" s="226"/>
      <c r="K65" s="226"/>
      <c r="L65" s="227"/>
      <c r="M65" s="41" t="s">
        <v>159</v>
      </c>
      <c r="N65" s="154"/>
    </row>
    <row r="66" spans="2:14" ht="16.5" customHeight="1" thickBot="1">
      <c r="B66" s="8"/>
      <c r="C66" s="13" t="s">
        <v>93</v>
      </c>
      <c r="D66" s="10" t="s">
        <v>160</v>
      </c>
      <c r="E66" s="116" t="s">
        <v>161</v>
      </c>
      <c r="F66" s="116"/>
      <c r="G66" s="6" t="s">
        <v>99</v>
      </c>
      <c r="H66" s="228">
        <f>H41+H50+H58+H63</f>
        <v>0.055910812500000004</v>
      </c>
      <c r="I66" s="229"/>
      <c r="J66" s="229"/>
      <c r="K66" s="229"/>
      <c r="L66" s="230"/>
      <c r="M66" s="70" t="s">
        <v>162</v>
      </c>
      <c r="N66" s="153"/>
    </row>
    <row r="67" spans="2:14" ht="16.5" customHeight="1" thickBot="1">
      <c r="B67" s="19"/>
      <c r="C67" s="32" t="s">
        <v>155</v>
      </c>
      <c r="D67" s="33" t="s">
        <v>160</v>
      </c>
      <c r="E67" s="166" t="s">
        <v>163</v>
      </c>
      <c r="F67" s="166"/>
      <c r="G67" s="34" t="s">
        <v>103</v>
      </c>
      <c r="H67" s="232">
        <f>H44+H53+H61+H65</f>
        <v>47.04182606593608</v>
      </c>
      <c r="I67" s="233"/>
      <c r="J67" s="233"/>
      <c r="K67" s="233"/>
      <c r="L67" s="234"/>
      <c r="M67" s="80" t="s">
        <v>164</v>
      </c>
      <c r="N67" s="231"/>
    </row>
    <row r="68" spans="2:14" ht="16.5" customHeight="1">
      <c r="B68" s="172" t="s">
        <v>168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56"/>
      <c r="N68" s="55"/>
    </row>
    <row r="69" spans="2:14" ht="16.5" customHeight="1">
      <c r="B69" s="8"/>
      <c r="C69" s="17" t="s">
        <v>169</v>
      </c>
      <c r="D69" s="10" t="s">
        <v>170</v>
      </c>
      <c r="E69" s="236" t="s">
        <v>171</v>
      </c>
      <c r="F69" s="237"/>
      <c r="G69" s="238"/>
      <c r="H69" s="239"/>
      <c r="I69" s="240"/>
      <c r="J69" s="240"/>
      <c r="K69" s="240"/>
      <c r="L69" s="241"/>
      <c r="M69" s="83" t="s">
        <v>172</v>
      </c>
      <c r="N69" s="84"/>
    </row>
    <row r="70" spans="2:14" ht="16.5" customHeight="1">
      <c r="B70" s="9"/>
      <c r="C70" s="220" t="s">
        <v>173</v>
      </c>
      <c r="D70" s="242" t="s">
        <v>174</v>
      </c>
      <c r="E70" s="245" t="s">
        <v>175</v>
      </c>
      <c r="F70" s="246"/>
      <c r="G70" s="58" t="s">
        <v>176</v>
      </c>
      <c r="H70" s="245" t="s">
        <v>175</v>
      </c>
      <c r="I70" s="245"/>
      <c r="J70" s="198"/>
      <c r="K70" s="247" t="s">
        <v>177</v>
      </c>
      <c r="L70" s="245"/>
      <c r="M70" s="248" t="s">
        <v>178</v>
      </c>
      <c r="N70" s="249"/>
    </row>
    <row r="71" spans="2:14" ht="16.5" customHeight="1">
      <c r="B71" s="24"/>
      <c r="C71" s="221"/>
      <c r="D71" s="243"/>
      <c r="E71" s="59" t="s">
        <v>179</v>
      </c>
      <c r="F71" s="35"/>
      <c r="G71" s="36"/>
      <c r="H71" s="59" t="s">
        <v>179</v>
      </c>
      <c r="I71" s="165"/>
      <c r="J71" s="250"/>
      <c r="K71" s="251"/>
      <c r="L71" s="155"/>
      <c r="M71" s="37"/>
      <c r="N71" s="153"/>
    </row>
    <row r="72" spans="2:14" ht="16.5" customHeight="1">
      <c r="B72" s="24"/>
      <c r="C72" s="221"/>
      <c r="D72" s="243"/>
      <c r="E72" s="59" t="s">
        <v>180</v>
      </c>
      <c r="F72" s="35"/>
      <c r="G72" s="36"/>
      <c r="H72" s="59" t="s">
        <v>180</v>
      </c>
      <c r="I72" s="165"/>
      <c r="J72" s="250"/>
      <c r="K72" s="251"/>
      <c r="L72" s="155"/>
      <c r="M72" s="38"/>
      <c r="N72" s="216"/>
    </row>
    <row r="73" spans="2:14" ht="16.5" customHeight="1">
      <c r="B73" s="24"/>
      <c r="C73" s="221"/>
      <c r="D73" s="243"/>
      <c r="E73" s="59" t="s">
        <v>181</v>
      </c>
      <c r="F73" s="35"/>
      <c r="G73" s="36"/>
      <c r="H73" s="59" t="s">
        <v>181</v>
      </c>
      <c r="I73" s="165"/>
      <c r="J73" s="250"/>
      <c r="K73" s="251"/>
      <c r="L73" s="155"/>
      <c r="M73" s="38"/>
      <c r="N73" s="216"/>
    </row>
    <row r="74" spans="2:14" ht="16.5" customHeight="1">
      <c r="B74" s="24"/>
      <c r="C74" s="221"/>
      <c r="D74" s="243"/>
      <c r="E74" s="59" t="s">
        <v>182</v>
      </c>
      <c r="F74" s="35"/>
      <c r="G74" s="36"/>
      <c r="H74" s="59" t="s">
        <v>182</v>
      </c>
      <c r="I74" s="165"/>
      <c r="J74" s="250"/>
      <c r="K74" s="251"/>
      <c r="L74" s="155"/>
      <c r="M74" s="38"/>
      <c r="N74" s="216"/>
    </row>
    <row r="75" spans="2:14" ht="16.5" customHeight="1">
      <c r="B75" s="24"/>
      <c r="C75" s="221"/>
      <c r="D75" s="243"/>
      <c r="E75" s="59" t="s">
        <v>183</v>
      </c>
      <c r="F75" s="35"/>
      <c r="G75" s="36"/>
      <c r="H75" s="59" t="s">
        <v>183</v>
      </c>
      <c r="I75" s="165"/>
      <c r="J75" s="250"/>
      <c r="K75" s="251"/>
      <c r="L75" s="155"/>
      <c r="M75" s="38"/>
      <c r="N75" s="216"/>
    </row>
    <row r="76" spans="2:14" ht="16.5" customHeight="1">
      <c r="B76" s="24"/>
      <c r="C76" s="221"/>
      <c r="D76" s="243"/>
      <c r="E76" s="59" t="s">
        <v>184</v>
      </c>
      <c r="F76" s="35"/>
      <c r="G76" s="36"/>
      <c r="H76" s="59" t="s">
        <v>184</v>
      </c>
      <c r="I76" s="165"/>
      <c r="J76" s="250"/>
      <c r="K76" s="251"/>
      <c r="L76" s="155"/>
      <c r="M76" s="38"/>
      <c r="N76" s="216"/>
    </row>
    <row r="77" spans="2:14" ht="16.5" customHeight="1">
      <c r="B77" s="24"/>
      <c r="C77" s="221"/>
      <c r="D77" s="243"/>
      <c r="E77" s="59" t="s">
        <v>185</v>
      </c>
      <c r="F77" s="35"/>
      <c r="G77" s="36"/>
      <c r="H77" s="59" t="s">
        <v>185</v>
      </c>
      <c r="I77" s="165"/>
      <c r="J77" s="250"/>
      <c r="K77" s="251"/>
      <c r="L77" s="155"/>
      <c r="M77" s="38"/>
      <c r="N77" s="216"/>
    </row>
    <row r="78" spans="2:14" ht="16.5" customHeight="1">
      <c r="B78" s="11"/>
      <c r="C78" s="222"/>
      <c r="D78" s="244"/>
      <c r="E78" s="59" t="s">
        <v>186</v>
      </c>
      <c r="F78" s="35"/>
      <c r="G78" s="36"/>
      <c r="H78" s="59" t="s">
        <v>186</v>
      </c>
      <c r="I78" s="165"/>
      <c r="J78" s="250"/>
      <c r="K78" s="251"/>
      <c r="L78" s="155"/>
      <c r="M78" s="39"/>
      <c r="N78" s="216"/>
    </row>
    <row r="79" spans="2:14" ht="16.5" customHeight="1">
      <c r="B79" s="11"/>
      <c r="C79" s="252" t="s">
        <v>187</v>
      </c>
      <c r="D79" s="252"/>
      <c r="E79" s="252"/>
      <c r="F79" s="252"/>
      <c r="G79" s="144"/>
      <c r="H79" s="253" t="s">
        <v>188</v>
      </c>
      <c r="I79" s="253"/>
      <c r="J79" s="253"/>
      <c r="K79" s="253" t="s">
        <v>189</v>
      </c>
      <c r="L79" s="253"/>
      <c r="M79" s="40"/>
      <c r="N79" s="216"/>
    </row>
    <row r="80" spans="2:14" ht="16.5" customHeight="1">
      <c r="B80" s="8"/>
      <c r="C80" s="5" t="s">
        <v>190</v>
      </c>
      <c r="D80" s="10" t="s">
        <v>191</v>
      </c>
      <c r="E80" s="116" t="s">
        <v>192</v>
      </c>
      <c r="F80" s="116"/>
      <c r="G80" s="6" t="s">
        <v>193</v>
      </c>
      <c r="H80" s="165"/>
      <c r="I80" s="165"/>
      <c r="J80" s="165"/>
      <c r="K80" s="165"/>
      <c r="L80" s="165"/>
      <c r="M80" s="85" t="s">
        <v>22</v>
      </c>
      <c r="N80" s="216"/>
    </row>
    <row r="81" spans="2:14" ht="16.5" customHeight="1">
      <c r="B81" s="8"/>
      <c r="C81" s="5"/>
      <c r="D81" s="10" t="s">
        <v>194</v>
      </c>
      <c r="E81" s="116" t="s">
        <v>195</v>
      </c>
      <c r="F81" s="116"/>
      <c r="G81" s="6" t="s">
        <v>193</v>
      </c>
      <c r="H81" s="165"/>
      <c r="I81" s="165"/>
      <c r="J81" s="165"/>
      <c r="K81" s="165"/>
      <c r="L81" s="165"/>
      <c r="M81" s="85" t="s">
        <v>22</v>
      </c>
      <c r="N81" s="216"/>
    </row>
    <row r="82" spans="2:14" ht="16.5" customHeight="1">
      <c r="B82" s="8"/>
      <c r="C82" s="5" t="s">
        <v>196</v>
      </c>
      <c r="D82" s="10" t="s">
        <v>197</v>
      </c>
      <c r="E82" s="116" t="s">
        <v>198</v>
      </c>
      <c r="F82" s="116"/>
      <c r="G82" s="6" t="s">
        <v>193</v>
      </c>
      <c r="H82" s="165"/>
      <c r="I82" s="165"/>
      <c r="J82" s="165"/>
      <c r="K82" s="165"/>
      <c r="L82" s="165"/>
      <c r="M82" s="85" t="s">
        <v>22</v>
      </c>
      <c r="N82" s="216"/>
    </row>
    <row r="83" spans="2:14" ht="16.5" customHeight="1">
      <c r="B83" s="8"/>
      <c r="C83" s="254" t="s">
        <v>199</v>
      </c>
      <c r="D83" s="255"/>
      <c r="E83" s="116" t="s">
        <v>200</v>
      </c>
      <c r="F83" s="116"/>
      <c r="G83" s="6" t="s">
        <v>30</v>
      </c>
      <c r="H83" s="256">
        <v>0</v>
      </c>
      <c r="I83" s="257"/>
      <c r="J83" s="258"/>
      <c r="K83" s="259"/>
      <c r="L83" s="260"/>
      <c r="M83" s="85" t="s">
        <v>22</v>
      </c>
      <c r="N83" s="216"/>
    </row>
    <row r="84" spans="2:14" ht="16.5" customHeight="1">
      <c r="B84" s="8"/>
      <c r="C84" s="254" t="s">
        <v>201</v>
      </c>
      <c r="D84" s="255"/>
      <c r="E84" s="116" t="s">
        <v>202</v>
      </c>
      <c r="F84" s="116"/>
      <c r="G84" s="6" t="s">
        <v>193</v>
      </c>
      <c r="H84" s="261"/>
      <c r="I84" s="261"/>
      <c r="J84" s="261"/>
      <c r="K84" s="261"/>
      <c r="L84" s="261"/>
      <c r="M84" s="85" t="s">
        <v>22</v>
      </c>
      <c r="N84" s="216"/>
    </row>
    <row r="85" spans="2:14" ht="16.5" customHeight="1">
      <c r="B85" s="8"/>
      <c r="C85" s="254" t="s">
        <v>203</v>
      </c>
      <c r="D85" s="255"/>
      <c r="E85" s="116" t="s">
        <v>204</v>
      </c>
      <c r="F85" s="116"/>
      <c r="G85" s="6" t="s">
        <v>205</v>
      </c>
      <c r="H85" s="269"/>
      <c r="I85" s="269"/>
      <c r="J85" s="269"/>
      <c r="K85" s="269"/>
      <c r="L85" s="269"/>
      <c r="M85" s="85" t="s">
        <v>22</v>
      </c>
      <c r="N85" s="216"/>
    </row>
    <row r="86" spans="2:14" ht="16.5" customHeight="1">
      <c r="B86" s="8"/>
      <c r="C86" s="254" t="s">
        <v>206</v>
      </c>
      <c r="D86" s="255"/>
      <c r="E86" s="116" t="s">
        <v>207</v>
      </c>
      <c r="F86" s="116"/>
      <c r="G86" s="6" t="s">
        <v>208</v>
      </c>
      <c r="H86" s="270" t="e">
        <f>IF(H10="","",ROUND((H85/H8)*10000,0))</f>
        <v>#REF!</v>
      </c>
      <c r="I86" s="271"/>
      <c r="J86" s="271"/>
      <c r="K86" s="271"/>
      <c r="L86" s="272"/>
      <c r="M86" s="86" t="s">
        <v>209</v>
      </c>
      <c r="N86" s="216"/>
    </row>
    <row r="87" spans="2:14" ht="16.5" customHeight="1" thickBot="1">
      <c r="B87" s="19"/>
      <c r="C87" s="20" t="s">
        <v>210</v>
      </c>
      <c r="D87" s="21" t="s">
        <v>211</v>
      </c>
      <c r="E87" s="262" t="e">
        <f>IF(H10="","",IF(H83="","ＮＧ",IF(H87&gt;=K87,"ＯＫ","ＮＧ")))</f>
        <v>#REF!</v>
      </c>
      <c r="F87" s="263"/>
      <c r="G87" s="264"/>
      <c r="H87" s="265">
        <f>IF(H84="","",H16)</f>
      </c>
      <c r="I87" s="266"/>
      <c r="J87" s="266"/>
      <c r="K87" s="267">
        <f>IF(H83="","",IF(H19="",H83+K83,H83+K83+H21))</f>
        <v>0</v>
      </c>
      <c r="L87" s="268"/>
      <c r="M87" s="87" t="s">
        <v>212</v>
      </c>
      <c r="N87" s="231"/>
    </row>
  </sheetData>
  <sheetProtection/>
  <mergeCells count="241">
    <mergeCell ref="R50:S50"/>
    <mergeCell ref="T50:U50"/>
    <mergeCell ref="R47:S47"/>
    <mergeCell ref="T47:U47"/>
    <mergeCell ref="R48:S48"/>
    <mergeCell ref="T48:U48"/>
    <mergeCell ref="R49:S49"/>
    <mergeCell ref="T49:U49"/>
    <mergeCell ref="R44:S44"/>
    <mergeCell ref="T44:U44"/>
    <mergeCell ref="R45:S45"/>
    <mergeCell ref="T45:U45"/>
    <mergeCell ref="R46:S46"/>
    <mergeCell ref="T46:U46"/>
    <mergeCell ref="Q40:U40"/>
    <mergeCell ref="R41:S41"/>
    <mergeCell ref="T41:U41"/>
    <mergeCell ref="R42:S42"/>
    <mergeCell ref="T42:U42"/>
    <mergeCell ref="R43:S43"/>
    <mergeCell ref="T43:U43"/>
    <mergeCell ref="Q11:U11"/>
    <mergeCell ref="R12:S12"/>
    <mergeCell ref="T12:U12"/>
    <mergeCell ref="Q27:W27"/>
    <mergeCell ref="R28:T28"/>
    <mergeCell ref="U28:W28"/>
    <mergeCell ref="E87:G87"/>
    <mergeCell ref="H87:J87"/>
    <mergeCell ref="K87:L87"/>
    <mergeCell ref="C85:D85"/>
    <mergeCell ref="E85:F85"/>
    <mergeCell ref="H85:L85"/>
    <mergeCell ref="C86:D86"/>
    <mergeCell ref="E86:F86"/>
    <mergeCell ref="H86:L86"/>
    <mergeCell ref="C83:D83"/>
    <mergeCell ref="E83:F83"/>
    <mergeCell ref="H83:J83"/>
    <mergeCell ref="K83:L83"/>
    <mergeCell ref="C84:D84"/>
    <mergeCell ref="E84:F84"/>
    <mergeCell ref="H84:L84"/>
    <mergeCell ref="E81:F81"/>
    <mergeCell ref="H81:J81"/>
    <mergeCell ref="K81:L81"/>
    <mergeCell ref="E82:F82"/>
    <mergeCell ref="H82:J82"/>
    <mergeCell ref="K82:L82"/>
    <mergeCell ref="I78:J78"/>
    <mergeCell ref="K78:L78"/>
    <mergeCell ref="C79:G79"/>
    <mergeCell ref="H79:J79"/>
    <mergeCell ref="K79:L79"/>
    <mergeCell ref="E80:F80"/>
    <mergeCell ref="H80:J80"/>
    <mergeCell ref="K80:L80"/>
    <mergeCell ref="I75:J75"/>
    <mergeCell ref="K75:L75"/>
    <mergeCell ref="I76:J76"/>
    <mergeCell ref="K76:L76"/>
    <mergeCell ref="I77:J77"/>
    <mergeCell ref="K77:L77"/>
    <mergeCell ref="M70:N70"/>
    <mergeCell ref="I71:J71"/>
    <mergeCell ref="K71:L71"/>
    <mergeCell ref="N71:N87"/>
    <mergeCell ref="I72:J72"/>
    <mergeCell ref="K72:L72"/>
    <mergeCell ref="I73:J73"/>
    <mergeCell ref="K73:L73"/>
    <mergeCell ref="I74:J74"/>
    <mergeCell ref="K74:L74"/>
    <mergeCell ref="B7:F7"/>
    <mergeCell ref="H7:L7"/>
    <mergeCell ref="B68:L68"/>
    <mergeCell ref="E69:G69"/>
    <mergeCell ref="H69:L69"/>
    <mergeCell ref="C70:C78"/>
    <mergeCell ref="D70:D78"/>
    <mergeCell ref="E70:F70"/>
    <mergeCell ref="H70:J70"/>
    <mergeCell ref="K70:L70"/>
    <mergeCell ref="H65:L65"/>
    <mergeCell ref="E66:F66"/>
    <mergeCell ref="H66:L66"/>
    <mergeCell ref="N66:N67"/>
    <mergeCell ref="E67:F67"/>
    <mergeCell ref="H67:L67"/>
    <mergeCell ref="C62:C65"/>
    <mergeCell ref="E62:F62"/>
    <mergeCell ref="H62:I62"/>
    <mergeCell ref="N62:N63"/>
    <mergeCell ref="E63:F63"/>
    <mergeCell ref="H63:L63"/>
    <mergeCell ref="E64:F64"/>
    <mergeCell ref="H64:I64"/>
    <mergeCell ref="N64:N65"/>
    <mergeCell ref="E65:F65"/>
    <mergeCell ref="E58:F58"/>
    <mergeCell ref="H58:L58"/>
    <mergeCell ref="E59:F59"/>
    <mergeCell ref="H59:I59"/>
    <mergeCell ref="N59:N61"/>
    <mergeCell ref="E60:F60"/>
    <mergeCell ref="H60:I60"/>
    <mergeCell ref="E61:F61"/>
    <mergeCell ref="H61:L61"/>
    <mergeCell ref="C54:C61"/>
    <mergeCell ref="E54:F54"/>
    <mergeCell ref="H54:I54"/>
    <mergeCell ref="N54:N58"/>
    <mergeCell ref="E55:F55"/>
    <mergeCell ref="H55:I55"/>
    <mergeCell ref="E56:F56"/>
    <mergeCell ref="H56:I56"/>
    <mergeCell ref="E57:F57"/>
    <mergeCell ref="H57:I57"/>
    <mergeCell ref="E50:F50"/>
    <mergeCell ref="H50:L50"/>
    <mergeCell ref="E51:F51"/>
    <mergeCell ref="H51:I51"/>
    <mergeCell ref="N51:N53"/>
    <mergeCell ref="E52:F52"/>
    <mergeCell ref="H52:I52"/>
    <mergeCell ref="E53:F53"/>
    <mergeCell ref="H53:L53"/>
    <mergeCell ref="H46:I46"/>
    <mergeCell ref="E47:F47"/>
    <mergeCell ref="H47:I47"/>
    <mergeCell ref="E48:F48"/>
    <mergeCell ref="H48:I48"/>
    <mergeCell ref="E49:F49"/>
    <mergeCell ref="H49:I49"/>
    <mergeCell ref="N42:N44"/>
    <mergeCell ref="E43:F43"/>
    <mergeCell ref="H43:I43"/>
    <mergeCell ref="E44:F44"/>
    <mergeCell ref="H44:L44"/>
    <mergeCell ref="C45:C53"/>
    <mergeCell ref="E45:F45"/>
    <mergeCell ref="H45:I45"/>
    <mergeCell ref="N45:N50"/>
    <mergeCell ref="E46:F46"/>
    <mergeCell ref="E40:F40"/>
    <mergeCell ref="H40:I40"/>
    <mergeCell ref="E41:F41"/>
    <mergeCell ref="H41:L41"/>
    <mergeCell ref="E42:F42"/>
    <mergeCell ref="H42:I42"/>
    <mergeCell ref="H35:I35"/>
    <mergeCell ref="E37:F37"/>
    <mergeCell ref="H37:I37"/>
    <mergeCell ref="E38:F38"/>
    <mergeCell ref="H38:I38"/>
    <mergeCell ref="E39:F39"/>
    <mergeCell ref="H39:I39"/>
    <mergeCell ref="E36:F36"/>
    <mergeCell ref="H36:I36"/>
    <mergeCell ref="H31:I31"/>
    <mergeCell ref="N31:N41"/>
    <mergeCell ref="C32:C44"/>
    <mergeCell ref="E32:F32"/>
    <mergeCell ref="H32:I32"/>
    <mergeCell ref="E33:F33"/>
    <mergeCell ref="H33:I33"/>
    <mergeCell ref="E34:F34"/>
    <mergeCell ref="H34:I34"/>
    <mergeCell ref="E35:F35"/>
    <mergeCell ref="N27:N29"/>
    <mergeCell ref="H28:J28"/>
    <mergeCell ref="K28:L28"/>
    <mergeCell ref="E29:F29"/>
    <mergeCell ref="H29:L29"/>
    <mergeCell ref="E30:F30"/>
    <mergeCell ref="H30:L30"/>
    <mergeCell ref="E25:F25"/>
    <mergeCell ref="H25:J25"/>
    <mergeCell ref="K25:L25"/>
    <mergeCell ref="B26:L26"/>
    <mergeCell ref="C27:C29"/>
    <mergeCell ref="D27:D29"/>
    <mergeCell ref="E27:F28"/>
    <mergeCell ref="G27:G28"/>
    <mergeCell ref="H27:J27"/>
    <mergeCell ref="K27:L27"/>
    <mergeCell ref="C23:C24"/>
    <mergeCell ref="E23:F23"/>
    <mergeCell ref="H23:L23"/>
    <mergeCell ref="N23:N24"/>
    <mergeCell ref="E24:F24"/>
    <mergeCell ref="H24:L24"/>
    <mergeCell ref="E20:F20"/>
    <mergeCell ref="H20:L20"/>
    <mergeCell ref="E21:F21"/>
    <mergeCell ref="H21:L21"/>
    <mergeCell ref="C22:D22"/>
    <mergeCell ref="E22:F22"/>
    <mergeCell ref="H22:J22"/>
    <mergeCell ref="K22:L22"/>
    <mergeCell ref="N16:N17"/>
    <mergeCell ref="E17:F17"/>
    <mergeCell ref="H17:L17"/>
    <mergeCell ref="C18:L18"/>
    <mergeCell ref="C19:D19"/>
    <mergeCell ref="E19:F19"/>
    <mergeCell ref="H19:J19"/>
    <mergeCell ref="K19:L19"/>
    <mergeCell ref="E15:F15"/>
    <mergeCell ref="H15:J15"/>
    <mergeCell ref="K15:L15"/>
    <mergeCell ref="C16:C17"/>
    <mergeCell ref="E16:F16"/>
    <mergeCell ref="H16:L16"/>
    <mergeCell ref="N11:N12"/>
    <mergeCell ref="E12:F12"/>
    <mergeCell ref="H12:J12"/>
    <mergeCell ref="K12:L12"/>
    <mergeCell ref="C13:C14"/>
    <mergeCell ref="E13:F13"/>
    <mergeCell ref="H13:L13"/>
    <mergeCell ref="N13:N14"/>
    <mergeCell ref="E14:F14"/>
    <mergeCell ref="H14:L14"/>
    <mergeCell ref="E10:F10"/>
    <mergeCell ref="H10:J10"/>
    <mergeCell ref="K10:L10"/>
    <mergeCell ref="C11:D11"/>
    <mergeCell ref="E11:F11"/>
    <mergeCell ref="H11:J11"/>
    <mergeCell ref="K11:L11"/>
    <mergeCell ref="B8:B10"/>
    <mergeCell ref="C8:D8"/>
    <mergeCell ref="E8:F8"/>
    <mergeCell ref="H8:J8"/>
    <mergeCell ref="K8:L8"/>
    <mergeCell ref="N8:N10"/>
    <mergeCell ref="C9:D9"/>
    <mergeCell ref="E9:F9"/>
    <mergeCell ref="H9:J9"/>
    <mergeCell ref="K9:L9"/>
  </mergeCells>
  <printOptions horizontalCentered="1" verticalCentered="1"/>
  <pageMargins left="0.7086614173228347" right="0.5118110236220472" top="0.3937007874015748" bottom="0.3937007874015748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2023-02-13T06:26:16Z</cp:lastPrinted>
  <dcterms:created xsi:type="dcterms:W3CDTF">2008-09-16T04:23:16Z</dcterms:created>
  <dcterms:modified xsi:type="dcterms:W3CDTF">2023-02-14T10:23:30Z</dcterms:modified>
  <cp:category/>
  <cp:version/>
  <cp:contentType/>
  <cp:contentStatus/>
</cp:coreProperties>
</file>